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G:\Indicators\DataBank\Databank Write Ups\For Comms\4_To post\"/>
    </mc:Choice>
  </mc:AlternateContent>
  <xr:revisionPtr revIDLastSave="0" documentId="8_{545C3822-AFBA-4FD0-81E1-3B107C4CECE3}" xr6:coauthVersionLast="36" xr6:coauthVersionMax="36" xr10:uidLastSave="{00000000-0000-0000-0000-000000000000}"/>
  <bookViews>
    <workbookView xWindow="0" yWindow="0" windowWidth="19200" windowHeight="6930" xr2:uid="{BB745A9D-A68A-497D-88E5-0E831F139134}"/>
  </bookViews>
  <sheets>
    <sheet name="Table 1" sheetId="1" r:id="rId1"/>
  </sheets>
  <externalReferences>
    <externalReference r:id="rId2"/>
  </externalReferences>
  <definedNames>
    <definedName name="_xlnm.Print_Area" localSheetId="0">'Table 1'!$A$1:$U$58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T3" i="1" l="1"/>
  <c r="Z9" i="1"/>
  <c r="AA9" i="1"/>
  <c r="AB9" i="1"/>
  <c r="AC9" i="1"/>
  <c r="Z10" i="1"/>
  <c r="AA10" i="1"/>
  <c r="AB10" i="1"/>
  <c r="AC10" i="1"/>
  <c r="Z14" i="1"/>
  <c r="AA14" i="1"/>
  <c r="AB14" i="1"/>
  <c r="AC14" i="1"/>
  <c r="Z15" i="1"/>
  <c r="AA15" i="1"/>
  <c r="AB15" i="1"/>
  <c r="AC15" i="1"/>
  <c r="Z16" i="1"/>
  <c r="AA16" i="1"/>
  <c r="AB16" i="1"/>
  <c r="AC16" i="1"/>
  <c r="Z17" i="1"/>
  <c r="AA17" i="1"/>
  <c r="AB17" i="1"/>
  <c r="AC17" i="1"/>
  <c r="Z18" i="1"/>
  <c r="AA18" i="1"/>
  <c r="AB18" i="1"/>
  <c r="AC18" i="1"/>
  <c r="Z19" i="1"/>
  <c r="AA19" i="1"/>
  <c r="AB19" i="1"/>
  <c r="AC19" i="1"/>
  <c r="Z23" i="1"/>
  <c r="AA23" i="1"/>
  <c r="AB23" i="1"/>
  <c r="AC23" i="1"/>
  <c r="Z24" i="1"/>
  <c r="AA24" i="1"/>
  <c r="AB24" i="1"/>
  <c r="AC24" i="1"/>
  <c r="Z25" i="1"/>
  <c r="AA25" i="1"/>
  <c r="AB25" i="1"/>
  <c r="AC25" i="1"/>
  <c r="Z26" i="1"/>
  <c r="AA26" i="1"/>
  <c r="AB26" i="1"/>
  <c r="AC26" i="1"/>
  <c r="Z27" i="1"/>
  <c r="AA27" i="1"/>
  <c r="AB27" i="1"/>
  <c r="AC27" i="1"/>
  <c r="Z28" i="1"/>
  <c r="AA28" i="1"/>
  <c r="AB28" i="1"/>
  <c r="AC28" i="1"/>
  <c r="Z29" i="1"/>
  <c r="AA29" i="1"/>
  <c r="AB29" i="1"/>
  <c r="AC29" i="1"/>
  <c r="Z35" i="1"/>
  <c r="AA35" i="1"/>
  <c r="AB35" i="1"/>
  <c r="AC35" i="1"/>
  <c r="Z37" i="1"/>
  <c r="AA37" i="1"/>
  <c r="AB37" i="1"/>
  <c r="AC37" i="1"/>
  <c r="Z38" i="1"/>
  <c r="AA38" i="1"/>
  <c r="AB38" i="1"/>
  <c r="AC38" i="1"/>
  <c r="Z40" i="1"/>
  <c r="AA40" i="1"/>
  <c r="AC40" i="1"/>
  <c r="Z42" i="1"/>
  <c r="AA42" i="1"/>
  <c r="AB42" i="1"/>
  <c r="AC42" i="1"/>
  <c r="Z43" i="1"/>
  <c r="AA43" i="1"/>
  <c r="AB43" i="1"/>
  <c r="AC43" i="1"/>
  <c r="Z44" i="1"/>
  <c r="AA44" i="1"/>
  <c r="AB44" i="1"/>
  <c r="AC44" i="1"/>
  <c r="Z45" i="1"/>
  <c r="AA45" i="1"/>
  <c r="AB45" i="1"/>
  <c r="AC45" i="1"/>
  <c r="Z48" i="1"/>
  <c r="AA48" i="1"/>
  <c r="AB48" i="1"/>
  <c r="AC48" i="1"/>
  <c r="Z49" i="1"/>
  <c r="AA49" i="1"/>
  <c r="AB49" i="1"/>
  <c r="AC49" i="1"/>
  <c r="Z50" i="1"/>
  <c r="AA50" i="1"/>
  <c r="AB50" i="1"/>
  <c r="AC50" i="1"/>
  <c r="Z51" i="1"/>
  <c r="AA51" i="1"/>
  <c r="AB51" i="1"/>
  <c r="AC51" i="1"/>
  <c r="Z52" i="1"/>
  <c r="AA52" i="1"/>
  <c r="AB52" i="1"/>
  <c r="AC52" i="1"/>
  <c r="Z53" i="1"/>
  <c r="AA53" i="1"/>
  <c r="AB53" i="1"/>
  <c r="AC53" i="1"/>
</calcChain>
</file>

<file path=xl/sharedStrings.xml><?xml version="1.0" encoding="utf-8"?>
<sst xmlns="http://schemas.openxmlformats.org/spreadsheetml/2006/main" count="314" uniqueCount="46">
  <si>
    <t>Sources: Rate per 1000 for 1990-1999 and number of victims for 1994, 1998, 1999, and 2000: U.S. Department of Health and Human Services, Administration on Children, Youth, and Families. Child Maltreatment 1999. Population estimates for 1999: Population Estimates Program, Population Division, U.S. Census Bureau.  All other estimates for 1990-1999 except rate per 1000: U.S. Department of Health and Human Services. Office of the Assistant Secretary for Planning and Evaluation. Trends in the Well-Being of America's Children and Youth 2001. [Table HC 2.10].; Population estimates for 2000 and 2001: Original analysis by Child Trends of Centers for Disease Control and Prevention, National Center for Health Statistics. (2003). Bridged Race 2000 and 2001 Population Estimates for Calculating Vital Rates. Retrieved from http://www.cdc.gov/nchs/about/major/dvs/popbridge/popbridge.htm.  Data for 2000-2016:  Source: U.S. Department of Health and Human Services, Administration for Children and Families, Administration on Children, Youth, and Families, Children's Bureau. (2002-2019). Child Maltreatment 2000-2017.  Retrieved from https://www.acf.hhs.gov/cb/research-data-technology/statistics-research/child-maltreatment.</t>
  </si>
  <si>
    <r>
      <t>3</t>
    </r>
    <r>
      <rPr>
        <i/>
        <sz val="10"/>
        <rFont val="Lato"/>
        <family val="2"/>
      </rPr>
      <t>Percentages add to more than 100, because the same child may be a victim of multiple types of maltreatment.</t>
    </r>
  </si>
  <si>
    <r>
      <t>2</t>
    </r>
    <r>
      <rPr>
        <i/>
        <sz val="10"/>
        <rFont val="Lato"/>
        <family val="2"/>
      </rPr>
      <t xml:space="preserve"> 2002-2003 estimates for specific race groups have been revised to reflect the new OMB race definitions, and include only those who are identified with a single race. For previous years, estimates for whites and blacks include Hispanics of those races.  Hispanics may be of any race. </t>
    </r>
  </si>
  <si>
    <r>
      <t>1 "</t>
    </r>
    <r>
      <rPr>
        <i/>
        <sz val="10"/>
        <rFont val="Lato"/>
        <family val="2"/>
      </rPr>
      <t>Substantiated" cases are those where investigation results in a disposition that concludes the allegation of maltreatment or risk of maltreatment was supported or founded by state law or  policy, and is the highest level of finding by a state agency.  Cases designated "indicated" or "reason to suspect" are those not substantiated by investigation, but where there is a reason to suspect that the child may have been maltreated or was at risk of maltreatment.  Not all states  distinguish between substantiated and indicated dispositions.  All percentages reported here are based on reporting states; no estimates were made unless otherwise noted.</t>
    </r>
  </si>
  <si>
    <t xml:space="preserve">     Other and Unknown</t>
  </si>
  <si>
    <t xml:space="preserve">     Medical Neglect</t>
  </si>
  <si>
    <t xml:space="preserve">     Psychological or Emotional Abuse</t>
  </si>
  <si>
    <t xml:space="preserve">     Sexual Abuse</t>
  </si>
  <si>
    <t xml:space="preserve">     Physical Abuse</t>
  </si>
  <si>
    <t xml:space="preserve">     Neglect</t>
  </si>
  <si>
    <t>(as % of all victims)</t>
  </si>
  <si>
    <r>
      <t>Type of Maltreatment</t>
    </r>
    <r>
      <rPr>
        <vertAlign val="superscript"/>
        <sz val="11"/>
        <rFont val="Lato"/>
        <family val="2"/>
      </rPr>
      <t>3</t>
    </r>
  </si>
  <si>
    <t>-</t>
  </si>
  <si>
    <t xml:space="preserve">     Unknown</t>
  </si>
  <si>
    <t xml:space="preserve">     Multiple Race</t>
  </si>
  <si>
    <t xml:space="preserve">     Non-Hispanic Pacific Islander only</t>
  </si>
  <si>
    <t xml:space="preserve">     Non-Hispanic Asian only</t>
  </si>
  <si>
    <t xml:space="preserve">     Asian/Pacific Islander</t>
  </si>
  <si>
    <t xml:space="preserve">     Non-Hispanic American Indian/Alaska Native only</t>
  </si>
  <si>
    <t xml:space="preserve">     American Indian/Alaskan Native</t>
  </si>
  <si>
    <t xml:space="preserve">     Hispanic</t>
  </si>
  <si>
    <t xml:space="preserve">     Non-Hispanic black only</t>
  </si>
  <si>
    <t xml:space="preserve">     Black</t>
  </si>
  <si>
    <t xml:space="preserve">     Non-Hispanic white only</t>
  </si>
  <si>
    <t xml:space="preserve">     White</t>
  </si>
  <si>
    <r>
      <t>Race and Hispanic Origin of Victim</t>
    </r>
    <r>
      <rPr>
        <vertAlign val="superscript"/>
        <sz val="11"/>
        <rFont val="Lato"/>
        <family val="2"/>
      </rPr>
      <t>2</t>
    </r>
  </si>
  <si>
    <t xml:space="preserve">     16-17 years old </t>
  </si>
  <si>
    <t xml:space="preserve">     12-15 years old</t>
  </si>
  <si>
    <t xml:space="preserve">     8-11 years old</t>
  </si>
  <si>
    <t xml:space="preserve">     4-7 years old</t>
  </si>
  <si>
    <t xml:space="preserve">         1-3 years old</t>
  </si>
  <si>
    <t xml:space="preserve">         younger than 1 year</t>
  </si>
  <si>
    <t xml:space="preserve">     0- 3 years old </t>
  </si>
  <si>
    <t>Age of Victim</t>
  </si>
  <si>
    <t xml:space="preserve">     18 and older</t>
  </si>
  <si>
    <t xml:space="preserve">     14-17 years old</t>
  </si>
  <si>
    <t xml:space="preserve">     10-13 years old</t>
  </si>
  <si>
    <t xml:space="preserve">     6-9 years old</t>
  </si>
  <si>
    <t xml:space="preserve">     2-5 years old</t>
  </si>
  <si>
    <t xml:space="preserve">     1 year and younger</t>
  </si>
  <si>
    <t xml:space="preserve">     Female</t>
  </si>
  <si>
    <t xml:space="preserve">     Male</t>
  </si>
  <si>
    <t>Gender</t>
  </si>
  <si>
    <t>Rate per 1,000 population</t>
  </si>
  <si>
    <r>
      <t>Number of Victimizations</t>
    </r>
    <r>
      <rPr>
        <vertAlign val="superscript"/>
        <sz val="11"/>
        <rFont val="Lato"/>
        <family val="2"/>
      </rPr>
      <t>1</t>
    </r>
  </si>
  <si>
    <t>Appendix 1. Percent of Children Who are Reported Victims of Maltreatment, and Distribution by Gender, Age, Race and Hispanic Origin, and Type of Maltreatment, 1990-2017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</si>
</sst>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font>
      <sz val="10"/>
      <name val="Arial"/>
    </font>
    <font>
      <sz val="11"/>
      <name val="Lato"/>
      <family val="2"/>
    </font>
    <font>
      <b/>
      <sz val="11"/>
      <name val="Lato"/>
      <family val="2"/>
    </font>
    <font>
      <i/>
      <sz val="10"/>
      <name val="Lato"/>
      <family val="2"/>
    </font>
    <font>
      <i/>
      <vertAlign val="superscript"/>
      <sz val="10"/>
      <name val="Lato"/>
      <family val="2"/>
    </font>
    <font>
      <vertAlign val="superscript"/>
      <sz val="11"/>
      <name val="Lato"/>
      <family val="2"/>
    </font>
    <font>
      <b/>
      <sz val="11"/>
      <color theme="0"/>
      <name val="Lato"/>
      <family val="2"/>
    </font>
    <font>
      <sz val="11"/>
      <color theme="0"/>
      <name val="Lato"/>
      <family val="2"/>
    </font>
    <font>
      <sz val="14"/>
      <name val="Lato"/>
      <family val="2"/>
    </font>
    <font>
      <b/>
      <sz val="14"/>
      <name val="Lato"/>
      <family val="2"/>
    </font>
  </fonts>
  <fills count="3">
    <fill>
      <patternFill patternType="none"/>
    </fill>
    <fill>
      <patternFill patternType="gray125"/>
    </fill>
    <fill>
      <patternFill patternType="solid">
        <fgColor theme="4"/>
        <bgColor indexed="64"/>
      </patternFill>
    </fill>
  </fills>
  <borders count="4">
    <border>
      <left/>
      <right/>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s>
  <cellStyleXfs count="1">
    <xf numFmtId="0" fontId="0" fillId="0" borderId="0"/>
  </cellStyleXfs>
  <cellXfs count="42">
    <xf numFmtId="0" fontId="0" fillId="0" borderId="0" xfId="0"/>
    <xf numFmtId="0" fontId="1" fillId="0" borderId="0" xfId="0" applyFont="1" applyFill="1" applyBorder="1"/>
    <xf numFmtId="0" fontId="2" fillId="0" borderId="0" xfId="0" applyFont="1" applyFill="1" applyBorder="1"/>
    <xf numFmtId="0" fontId="2" fillId="0" borderId="0" xfId="0" applyNumberFormat="1" applyFont="1" applyFill="1" applyBorder="1"/>
    <xf numFmtId="0" fontId="1" fillId="0" borderId="0" xfId="0" applyFont="1" applyFill="1" applyBorder="1" applyAlignment="1">
      <alignment wrapText="1"/>
    </xf>
    <xf numFmtId="0" fontId="1" fillId="0" borderId="0" xfId="0" applyFont="1" applyFill="1" applyBorder="1" applyAlignment="1">
      <alignment horizontal="left" vertical="top" wrapText="1"/>
    </xf>
    <xf numFmtId="0" fontId="3" fillId="0" borderId="0" xfId="0" applyFont="1" applyFill="1" applyBorder="1" applyAlignment="1">
      <alignment horizontal="left" wrapText="1"/>
    </xf>
    <xf numFmtId="0" fontId="3" fillId="0" borderId="0" xfId="0" applyFont="1" applyFill="1" applyBorder="1" applyAlignment="1">
      <alignment wrapText="1"/>
    </xf>
    <xf numFmtId="0" fontId="4" fillId="0" borderId="0" xfId="0" applyFont="1" applyFill="1" applyBorder="1" applyAlignment="1">
      <alignment horizontal="left" wrapText="1"/>
    </xf>
    <xf numFmtId="0" fontId="4" fillId="0" borderId="0" xfId="0" applyFont="1" applyFill="1" applyBorder="1" applyAlignment="1">
      <alignment horizontal="left" vertical="top"/>
    </xf>
    <xf numFmtId="0" fontId="4" fillId="0" borderId="0" xfId="0" applyFont="1" applyFill="1" applyBorder="1" applyAlignment="1">
      <alignment horizontal="left" wrapText="1"/>
    </xf>
    <xf numFmtId="1" fontId="1" fillId="0" borderId="0" xfId="0" applyNumberFormat="1" applyFont="1" applyFill="1" applyBorder="1"/>
    <xf numFmtId="164" fontId="1" fillId="0" borderId="0" xfId="0" applyNumberFormat="1" applyFont="1" applyFill="1" applyBorder="1" applyAlignment="1">
      <alignment horizontal="right"/>
    </xf>
    <xf numFmtId="1" fontId="1" fillId="0" borderId="1" xfId="0" applyNumberFormat="1" applyFont="1" applyFill="1" applyBorder="1" applyAlignment="1"/>
    <xf numFmtId="1" fontId="1" fillId="0" borderId="2" xfId="0" applyNumberFormat="1" applyFont="1" applyFill="1" applyBorder="1" applyAlignment="1"/>
    <xf numFmtId="0" fontId="1" fillId="0" borderId="2" xfId="0" applyFont="1" applyFill="1" applyBorder="1" applyAlignment="1">
      <alignment horizontal="left" indent="1"/>
    </xf>
    <xf numFmtId="1" fontId="1" fillId="0" borderId="3" xfId="0" applyNumberFormat="1" applyFont="1" applyFill="1" applyBorder="1"/>
    <xf numFmtId="1" fontId="1" fillId="0" borderId="0" xfId="0" quotePrefix="1" applyNumberFormat="1" applyFont="1" applyFill="1" applyBorder="1" applyAlignment="1">
      <alignment horizontal="right"/>
    </xf>
    <xf numFmtId="0" fontId="1" fillId="0" borderId="0" xfId="0" quotePrefix="1" applyFont="1" applyFill="1" applyBorder="1" applyAlignment="1">
      <alignment horizontal="right"/>
    </xf>
    <xf numFmtId="1" fontId="1" fillId="0" borderId="0" xfId="0" applyNumberFormat="1" applyFont="1" applyFill="1" applyBorder="1" applyAlignment="1"/>
    <xf numFmtId="0" fontId="1" fillId="0" borderId="0" xfId="0" applyFont="1" applyFill="1" applyBorder="1" applyAlignment="1">
      <alignment horizontal="left" indent="1"/>
    </xf>
    <xf numFmtId="1" fontId="1" fillId="0" borderId="3" xfId="0" applyNumberFormat="1" applyFont="1" applyFill="1" applyBorder="1" applyAlignment="1"/>
    <xf numFmtId="0" fontId="1" fillId="0" borderId="3" xfId="0" applyFont="1" applyFill="1" applyBorder="1"/>
    <xf numFmtId="0" fontId="1" fillId="0" borderId="0" xfId="0" applyFont="1" applyFill="1" applyBorder="1" applyAlignment="1"/>
    <xf numFmtId="164" fontId="1" fillId="0" borderId="0" xfId="0" applyNumberFormat="1" applyFont="1" applyFill="1" applyBorder="1" applyAlignment="1"/>
    <xf numFmtId="1" fontId="1" fillId="0" borderId="0" xfId="0" applyNumberFormat="1" applyFont="1" applyFill="1" applyBorder="1" applyAlignment="1">
      <alignment horizontal="right"/>
    </xf>
    <xf numFmtId="0" fontId="1" fillId="0" borderId="0" xfId="0" applyFont="1" applyFill="1" applyBorder="1" applyAlignment="1">
      <alignment horizontal="left" indent="2"/>
    </xf>
    <xf numFmtId="1" fontId="1" fillId="0" borderId="3" xfId="0" applyNumberFormat="1" applyFont="1" applyFill="1" applyBorder="1" applyAlignment="1">
      <alignment horizontal="right"/>
    </xf>
    <xf numFmtId="0" fontId="6" fillId="2" borderId="0" xfId="0" applyNumberFormat="1" applyFont="1" applyFill="1" applyBorder="1"/>
    <xf numFmtId="0" fontId="6" fillId="2" borderId="0" xfId="0" applyNumberFormat="1" applyFont="1" applyFill="1" applyBorder="1" applyAlignment="1">
      <alignment horizontal="right"/>
    </xf>
    <xf numFmtId="0" fontId="7" fillId="2" borderId="0" xfId="0" applyFont="1" applyFill="1" applyBorder="1"/>
    <xf numFmtId="0" fontId="1" fillId="0" borderId="0" xfId="0" applyFont="1" applyFill="1" applyBorder="1" applyAlignment="1">
      <alignment horizontal="right"/>
    </xf>
    <xf numFmtId="164" fontId="1" fillId="0" borderId="3" xfId="0" applyNumberFormat="1" applyFont="1" applyFill="1" applyBorder="1" applyAlignment="1">
      <alignment horizontal="center"/>
    </xf>
    <xf numFmtId="164" fontId="1" fillId="0" borderId="0" xfId="0" applyNumberFormat="1" applyFont="1" applyFill="1" applyBorder="1" applyAlignment="1">
      <alignment horizontal="center"/>
    </xf>
    <xf numFmtId="164" fontId="1" fillId="0" borderId="0" xfId="0" applyNumberFormat="1" applyFont="1" applyFill="1" applyBorder="1"/>
    <xf numFmtId="3" fontId="1" fillId="0" borderId="3" xfId="0" applyNumberFormat="1" applyFont="1" applyFill="1" applyBorder="1"/>
    <xf numFmtId="3" fontId="1" fillId="0" borderId="0" xfId="0" applyNumberFormat="1" applyFont="1" applyFill="1" applyBorder="1"/>
    <xf numFmtId="3" fontId="1" fillId="0" borderId="0" xfId="0" applyNumberFormat="1" applyFont="1" applyFill="1" applyBorder="1" applyAlignment="1"/>
    <xf numFmtId="0" fontId="6" fillId="2" borderId="0" xfId="0" applyFont="1" applyFill="1" applyBorder="1" applyAlignment="1">
      <alignment horizontal="right"/>
    </xf>
    <xf numFmtId="0" fontId="6" fillId="2" borderId="0" xfId="0" applyFont="1" applyFill="1" applyBorder="1"/>
    <xf numFmtId="0" fontId="8" fillId="0" borderId="0" xfId="0" applyFont="1" applyFill="1" applyBorder="1" applyAlignment="1">
      <alignment horizontal="left" wrapText="1"/>
    </xf>
    <xf numFmtId="0" fontId="9" fillId="0" borderId="0" xfId="0" applyFont="1" applyFill="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n-US"/>
              <a:t>Number of and Rate of Child Maltreatment, 1990-2011</a:t>
            </a:r>
          </a:p>
        </c:rich>
      </c:tx>
      <c:layout>
        <c:manualLayout>
          <c:xMode val="edge"/>
          <c:yMode val="edge"/>
          <c:x val="0.18524334458192726"/>
          <c:y val="2.1158832418674937E-2"/>
        </c:manualLayout>
      </c:layout>
      <c:overlay val="0"/>
    </c:title>
    <c:autoTitleDeleted val="0"/>
    <c:plotArea>
      <c:layout>
        <c:manualLayout>
          <c:layoutTarget val="inner"/>
          <c:xMode val="edge"/>
          <c:yMode val="edge"/>
          <c:x val="8.3796811314544528E-2"/>
          <c:y val="0.11424017104561945"/>
          <c:w val="0.85198282004199277"/>
          <c:h val="0.5535827621425472"/>
        </c:manualLayout>
      </c:layout>
      <c:scatterChart>
        <c:scatterStyle val="lineMarker"/>
        <c:varyColors val="0"/>
        <c:ser>
          <c:idx val="0"/>
          <c:order val="0"/>
          <c:tx>
            <c:strRef>
              <c:f>'Table 1'!$A$48</c:f>
              <c:strCache>
                <c:ptCount val="1"/>
                <c:pt idx="0">
                  <c:v>     Neglect</c:v>
                </c:pt>
              </c:strCache>
            </c:strRef>
          </c:tx>
          <c:dLbls>
            <c:dLbl>
              <c:idx val="0"/>
              <c:numFmt formatCode="#,##0" sourceLinked="0"/>
              <c:spPr/>
              <c:txPr>
                <a:bodyPr/>
                <a:lstStyle/>
                <a:p>
                  <a:pPr>
                    <a:defRPr sz="1100" b="0" i="0" u="none" strike="noStrike" baseline="0">
                      <a:solidFill>
                        <a:srgbClr val="000000"/>
                      </a:solidFill>
                      <a:latin typeface="Calibri"/>
                      <a:ea typeface="Calibri"/>
                      <a:cs typeface="Calibri"/>
                    </a:defRPr>
                  </a:pPr>
                  <a:endParaRPr lang="en-US"/>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C84-468D-AAA8-C1B1EC29346C}"/>
                </c:ext>
              </c:extLst>
            </c:dLbl>
            <c:dLbl>
              <c:idx val="4"/>
              <c:numFmt formatCode="#,##0" sourceLinked="0"/>
              <c:spPr/>
              <c:txPr>
                <a:bodyPr/>
                <a:lstStyle/>
                <a:p>
                  <a:pPr>
                    <a:defRPr sz="1100" b="0" i="0" u="none" strike="noStrike" baseline="0">
                      <a:solidFill>
                        <a:srgbClr val="000000"/>
                      </a:solidFill>
                      <a:latin typeface="Calibri"/>
                      <a:ea typeface="Calibri"/>
                      <a:cs typeface="Calibri"/>
                    </a:defRPr>
                  </a:pPr>
                  <a:endParaRPr lang="en-US"/>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C84-468D-AAA8-C1B1EC29346C}"/>
                </c:ext>
              </c:extLst>
            </c:dLbl>
            <c:dLbl>
              <c:idx val="9"/>
              <c:numFmt formatCode="#,##0" sourceLinked="0"/>
              <c:spPr/>
              <c:txPr>
                <a:bodyPr/>
                <a:lstStyle/>
                <a:p>
                  <a:pPr>
                    <a:defRPr sz="1100" b="0" i="0" u="none" strike="noStrike" baseline="0">
                      <a:solidFill>
                        <a:srgbClr val="000000"/>
                      </a:solidFill>
                      <a:latin typeface="Calibri"/>
                      <a:ea typeface="Calibri"/>
                      <a:cs typeface="Calibri"/>
                    </a:defRPr>
                  </a:pPr>
                  <a:endParaRPr lang="en-US"/>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C84-468D-AAA8-C1B1EC29346C}"/>
                </c:ext>
              </c:extLst>
            </c:dLbl>
            <c:dLbl>
              <c:idx val="11"/>
              <c:numFmt formatCode="#,##0" sourceLinked="0"/>
              <c:spPr/>
              <c:txPr>
                <a:bodyPr/>
                <a:lstStyle/>
                <a:p>
                  <a:pPr>
                    <a:defRPr sz="1100" b="0" i="0" u="none" strike="noStrike" baseline="0">
                      <a:solidFill>
                        <a:srgbClr val="000000"/>
                      </a:solidFill>
                      <a:latin typeface="Calibri"/>
                      <a:ea typeface="Calibri"/>
                      <a:cs typeface="Calibri"/>
                    </a:defRPr>
                  </a:pPr>
                  <a:endParaRPr lang="en-US"/>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C84-468D-AAA8-C1B1EC29346C}"/>
                </c:ext>
              </c:extLst>
            </c:dLbl>
            <c:dLbl>
              <c:idx val="15"/>
              <c:numFmt formatCode="#,##0" sourceLinked="0"/>
              <c:spPr/>
              <c:txPr>
                <a:bodyPr/>
                <a:lstStyle/>
                <a:p>
                  <a:pPr>
                    <a:defRPr sz="1100" b="0" i="0" u="none" strike="noStrike" baseline="0">
                      <a:solidFill>
                        <a:srgbClr val="000000"/>
                      </a:solidFill>
                      <a:latin typeface="Calibri"/>
                      <a:ea typeface="Calibri"/>
                      <a:cs typeface="Calibri"/>
                    </a:defRPr>
                  </a:pPr>
                  <a:endParaRPr lang="en-US"/>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C84-468D-AAA8-C1B1EC29346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'Table 1'!$B$2:$W$2</c:f>
              <c:numCache>
                <c:formatCode>General</c:formatCode>
                <c:ptCount val="22"/>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numCache>
            </c:numRef>
          </c:xVal>
          <c:yVal>
            <c:numRef>
              <c:f>'Table 1'!$B$48:$W$48</c:f>
              <c:numCache>
                <c:formatCode>0</c:formatCode>
                <c:ptCount val="22"/>
                <c:pt idx="0">
                  <c:v>49</c:v>
                </c:pt>
                <c:pt idx="1">
                  <c:v>46</c:v>
                </c:pt>
                <c:pt idx="2">
                  <c:v>50</c:v>
                </c:pt>
                <c:pt idx="3">
                  <c:v>49</c:v>
                </c:pt>
                <c:pt idx="4">
                  <c:v>52</c:v>
                </c:pt>
                <c:pt idx="5">
                  <c:v>52</c:v>
                </c:pt>
                <c:pt idx="6">
                  <c:v>52</c:v>
                </c:pt>
                <c:pt idx="7">
                  <c:v>55</c:v>
                </c:pt>
                <c:pt idx="8">
                  <c:v>54</c:v>
                </c:pt>
                <c:pt idx="9">
                  <c:v>56</c:v>
                </c:pt>
                <c:pt idx="10">
                  <c:v>59.8</c:v>
                </c:pt>
                <c:pt idx="11">
                  <c:v>57.2</c:v>
                </c:pt>
                <c:pt idx="12">
                  <c:v>58.5</c:v>
                </c:pt>
                <c:pt idx="13">
                  <c:v>60.9</c:v>
                </c:pt>
                <c:pt idx="14">
                  <c:v>62.4</c:v>
                </c:pt>
                <c:pt idx="15">
                  <c:v>62.8</c:v>
                </c:pt>
                <c:pt idx="16">
                  <c:v>64</c:v>
                </c:pt>
                <c:pt idx="17">
                  <c:v>59</c:v>
                </c:pt>
                <c:pt idx="18">
                  <c:v>71</c:v>
                </c:pt>
                <c:pt idx="19">
                  <c:v>78</c:v>
                </c:pt>
                <c:pt idx="20">
                  <c:v>78</c:v>
                </c:pt>
                <c:pt idx="21">
                  <c:v>78.5</c:v>
                </c:pt>
              </c:numCache>
            </c:numRef>
          </c:yVal>
          <c:smooth val="0"/>
          <c:extLst>
            <c:ext xmlns:c16="http://schemas.microsoft.com/office/drawing/2014/chart" uri="{C3380CC4-5D6E-409C-BE32-E72D297353CC}">
              <c16:uniqueId val="{00000005-4C84-468D-AAA8-C1B1EC29346C}"/>
            </c:ext>
          </c:extLst>
        </c:ser>
        <c:ser>
          <c:idx val="2"/>
          <c:order val="1"/>
          <c:tx>
            <c:strRef>
              <c:f>'Table 1'!$A$49</c:f>
              <c:strCache>
                <c:ptCount val="1"/>
                <c:pt idx="0">
                  <c:v>     Physical Abuse</c:v>
                </c:pt>
              </c:strCache>
            </c:strRef>
          </c:tx>
          <c:spPr>
            <a:ln w="25400">
              <a:solidFill>
                <a:srgbClr val="1D5532"/>
              </a:solidFill>
              <a:prstDash val="solid"/>
            </a:ln>
          </c:spPr>
          <c:marker>
            <c:spPr>
              <a:solidFill>
                <a:schemeClr val="accent6"/>
              </a:solidFill>
              <a:ln>
                <a:solidFill>
                  <a:schemeClr val="accent6"/>
                </a:solidFill>
              </a:ln>
            </c:spPr>
          </c:marker>
          <c:dLbls>
            <c:dLbl>
              <c:idx val="0"/>
              <c:spPr/>
              <c:txPr>
                <a:bodyPr/>
                <a:lstStyle/>
                <a:p>
                  <a:pPr>
                    <a:defRPr sz="1100" b="0" i="0" u="none" strike="noStrike" baseline="0">
                      <a:solidFill>
                        <a:srgbClr val="000000"/>
                      </a:solidFill>
                      <a:latin typeface="Calibri"/>
                      <a:ea typeface="Calibri"/>
                      <a:cs typeface="Calibri"/>
                    </a:defRPr>
                  </a:pPr>
                  <a:endParaRPr lang="en-US"/>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C84-468D-AAA8-C1B1EC29346C}"/>
                </c:ext>
              </c:extLst>
            </c:dLbl>
            <c:dLbl>
              <c:idx val="2"/>
              <c:layout>
                <c:manualLayout>
                  <c:x val="-2.6739926739926749E-2"/>
                  <c:y val="-2.5686789151356044E-2"/>
                </c:manualLayout>
              </c:layout>
              <c:spPr/>
              <c:txPr>
                <a:bodyPr/>
                <a:lstStyle/>
                <a:p>
                  <a:pPr>
                    <a:defRPr sz="11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C84-468D-AAA8-C1B1EC29346C}"/>
                </c:ext>
              </c:extLst>
            </c:dLbl>
            <c:dLbl>
              <c:idx val="6"/>
              <c:spPr/>
              <c:txPr>
                <a:bodyPr/>
                <a:lstStyle/>
                <a:p>
                  <a:pPr>
                    <a:defRPr sz="1100" b="0" i="0" u="none" strike="noStrike" baseline="0">
                      <a:solidFill>
                        <a:srgbClr val="000000"/>
                      </a:solidFill>
                      <a:latin typeface="Calibri"/>
                      <a:ea typeface="Calibri"/>
                      <a:cs typeface="Calibri"/>
                    </a:defRPr>
                  </a:pPr>
                  <a:endParaRPr lang="en-US"/>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C84-468D-AAA8-C1B1EC29346C}"/>
                </c:ext>
              </c:extLst>
            </c:dLbl>
            <c:dLbl>
              <c:idx val="9"/>
              <c:spPr/>
              <c:txPr>
                <a:bodyPr/>
                <a:lstStyle/>
                <a:p>
                  <a:pPr>
                    <a:defRPr sz="1100" b="0" i="0" u="none" strike="noStrike" baseline="0">
                      <a:solidFill>
                        <a:srgbClr val="000000"/>
                      </a:solidFill>
                      <a:latin typeface="Calibri"/>
                      <a:ea typeface="Calibri"/>
                      <a:cs typeface="Calibri"/>
                    </a:defRPr>
                  </a:pPr>
                  <a:endParaRPr lang="en-US"/>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C84-468D-AAA8-C1B1EC29346C}"/>
                </c:ext>
              </c:extLst>
            </c:dLbl>
            <c:dLbl>
              <c:idx val="15"/>
              <c:spPr/>
              <c:txPr>
                <a:bodyPr/>
                <a:lstStyle/>
                <a:p>
                  <a:pPr>
                    <a:defRPr sz="1100" b="0" i="0" u="none" strike="noStrike" baseline="0">
                      <a:solidFill>
                        <a:srgbClr val="000000"/>
                      </a:solidFill>
                      <a:latin typeface="Calibri"/>
                      <a:ea typeface="Calibri"/>
                      <a:cs typeface="Calibri"/>
                    </a:defRPr>
                  </a:pPr>
                  <a:endParaRPr lang="en-US"/>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C84-468D-AAA8-C1B1EC29346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'Table 1'!$B$2:$W$2</c:f>
              <c:numCache>
                <c:formatCode>General</c:formatCode>
                <c:ptCount val="22"/>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numCache>
            </c:numRef>
          </c:xVal>
          <c:yVal>
            <c:numRef>
              <c:f>'Table 1'!$B$49:$W$49</c:f>
              <c:numCache>
                <c:formatCode>0</c:formatCode>
                <c:ptCount val="22"/>
                <c:pt idx="0">
                  <c:v>27</c:v>
                </c:pt>
                <c:pt idx="1">
                  <c:v>26</c:v>
                </c:pt>
                <c:pt idx="2">
                  <c:v>23</c:v>
                </c:pt>
                <c:pt idx="3">
                  <c:v>24</c:v>
                </c:pt>
                <c:pt idx="4">
                  <c:v>24</c:v>
                </c:pt>
                <c:pt idx="5">
                  <c:v>24</c:v>
                </c:pt>
                <c:pt idx="6">
                  <c:v>24</c:v>
                </c:pt>
                <c:pt idx="7">
                  <c:v>24</c:v>
                </c:pt>
                <c:pt idx="8">
                  <c:v>23</c:v>
                </c:pt>
                <c:pt idx="9">
                  <c:v>21</c:v>
                </c:pt>
                <c:pt idx="10">
                  <c:v>19</c:v>
                </c:pt>
                <c:pt idx="11">
                  <c:v>18.600000000000001</c:v>
                </c:pt>
                <c:pt idx="12">
                  <c:v>18.600000000000001</c:v>
                </c:pt>
                <c:pt idx="13">
                  <c:v>18.899999999999999</c:v>
                </c:pt>
                <c:pt idx="14">
                  <c:v>17.5</c:v>
                </c:pt>
                <c:pt idx="15">
                  <c:v>16.600000000000001</c:v>
                </c:pt>
                <c:pt idx="16">
                  <c:v>16</c:v>
                </c:pt>
                <c:pt idx="17">
                  <c:v>11</c:v>
                </c:pt>
                <c:pt idx="18">
                  <c:v>16</c:v>
                </c:pt>
                <c:pt idx="19">
                  <c:v>18</c:v>
                </c:pt>
                <c:pt idx="20">
                  <c:v>18</c:v>
                </c:pt>
                <c:pt idx="21">
                  <c:v>17.600000000000001</c:v>
                </c:pt>
              </c:numCache>
            </c:numRef>
          </c:yVal>
          <c:smooth val="0"/>
          <c:extLst>
            <c:ext xmlns:c16="http://schemas.microsoft.com/office/drawing/2014/chart" uri="{C3380CC4-5D6E-409C-BE32-E72D297353CC}">
              <c16:uniqueId val="{0000000B-4C84-468D-AAA8-C1B1EC29346C}"/>
            </c:ext>
          </c:extLst>
        </c:ser>
        <c:ser>
          <c:idx val="4"/>
          <c:order val="2"/>
          <c:tx>
            <c:strRef>
              <c:f>'Table 1'!$A$50</c:f>
              <c:strCache>
                <c:ptCount val="1"/>
                <c:pt idx="0">
                  <c:v>     Sexual Abuse</c:v>
                </c:pt>
              </c:strCache>
            </c:strRef>
          </c:tx>
          <c:spPr>
            <a:ln>
              <a:solidFill>
                <a:schemeClr val="tx2"/>
              </a:solidFill>
            </a:ln>
          </c:spPr>
          <c:marker>
            <c:symbol val="circle"/>
            <c:size val="7"/>
            <c:spPr>
              <a:solidFill>
                <a:schemeClr val="tx2"/>
              </a:solidFill>
              <a:ln>
                <a:solidFill>
                  <a:srgbClr val="1F497D"/>
                </a:solidFill>
              </a:ln>
            </c:spPr>
          </c:marker>
          <c:dLbls>
            <c:dLbl>
              <c:idx val="15"/>
              <c:numFmt formatCode="#,##0" sourceLinked="0"/>
              <c:spPr/>
              <c:txPr>
                <a:bodyPr/>
                <a:lstStyle/>
                <a:p>
                  <a:pPr>
                    <a:defRPr sz="1100" b="0" i="0" u="none" strike="noStrike" baseline="0">
                      <a:solidFill>
                        <a:srgbClr val="000000"/>
                      </a:solidFill>
                      <a:latin typeface="Calibri"/>
                      <a:ea typeface="Calibri"/>
                      <a:cs typeface="Calibri"/>
                    </a:defRPr>
                  </a:pPr>
                  <a:endParaRPr lang="en-US"/>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C84-468D-AAA8-C1B1EC29346C}"/>
                </c:ext>
              </c:extLst>
            </c:dLbl>
            <c:dLbl>
              <c:idx val="17"/>
              <c:numFmt formatCode="#,##0" sourceLinked="0"/>
              <c:spPr/>
              <c:txPr>
                <a:bodyPr/>
                <a:lstStyle/>
                <a:p>
                  <a:pPr>
                    <a:defRPr sz="1100" b="0" i="0" u="none" strike="noStrike" baseline="0">
                      <a:solidFill>
                        <a:srgbClr val="000000"/>
                      </a:solidFill>
                      <a:latin typeface="Calibri"/>
                      <a:ea typeface="Calibri"/>
                      <a:cs typeface="Calibri"/>
                    </a:defRPr>
                  </a:pPr>
                  <a:endParaRPr lang="en-US"/>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C84-468D-AAA8-C1B1EC29346C}"/>
                </c:ext>
              </c:extLst>
            </c:dLbl>
            <c:dLbl>
              <c:idx val="21"/>
              <c:layout>
                <c:manualLayout>
                  <c:x val="-2.5052836835837672E-2"/>
                  <c:y val="2.4436769211788507E-2"/>
                </c:manualLayout>
              </c:layout>
              <c:numFmt formatCode="#,##0" sourceLinked="0"/>
              <c:spPr/>
              <c:txPr>
                <a:bodyPr/>
                <a:lstStyle/>
                <a:p>
                  <a:pPr>
                    <a:defRPr sz="11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C84-468D-AAA8-C1B1EC29346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'Table 1'!$B$2:$W$2</c:f>
              <c:numCache>
                <c:formatCode>General</c:formatCode>
                <c:ptCount val="22"/>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numCache>
            </c:numRef>
          </c:xVal>
          <c:yVal>
            <c:numRef>
              <c:f>'Table 1'!$B$50:$W$50</c:f>
              <c:numCache>
                <c:formatCode>0</c:formatCode>
                <c:ptCount val="22"/>
                <c:pt idx="0">
                  <c:v>17</c:v>
                </c:pt>
                <c:pt idx="1">
                  <c:v>16</c:v>
                </c:pt>
                <c:pt idx="2">
                  <c:v>14</c:v>
                </c:pt>
                <c:pt idx="3">
                  <c:v>14</c:v>
                </c:pt>
                <c:pt idx="4">
                  <c:v>14</c:v>
                </c:pt>
                <c:pt idx="5">
                  <c:v>13</c:v>
                </c:pt>
                <c:pt idx="6">
                  <c:v>12</c:v>
                </c:pt>
                <c:pt idx="7">
                  <c:v>12</c:v>
                </c:pt>
                <c:pt idx="8">
                  <c:v>12</c:v>
                </c:pt>
                <c:pt idx="9">
                  <c:v>11</c:v>
                </c:pt>
                <c:pt idx="10">
                  <c:v>10</c:v>
                </c:pt>
                <c:pt idx="11">
                  <c:v>9.6</c:v>
                </c:pt>
                <c:pt idx="12">
                  <c:v>9.9</c:v>
                </c:pt>
                <c:pt idx="13">
                  <c:v>9.9</c:v>
                </c:pt>
                <c:pt idx="14">
                  <c:v>9.6999999999999993</c:v>
                </c:pt>
                <c:pt idx="15">
                  <c:v>9.3000000000000007</c:v>
                </c:pt>
                <c:pt idx="16">
                  <c:v>8.8000000000000007</c:v>
                </c:pt>
                <c:pt idx="17">
                  <c:v>8</c:v>
                </c:pt>
                <c:pt idx="18">
                  <c:v>9</c:v>
                </c:pt>
                <c:pt idx="19">
                  <c:v>10</c:v>
                </c:pt>
                <c:pt idx="20">
                  <c:v>9</c:v>
                </c:pt>
                <c:pt idx="21">
                  <c:v>9.1</c:v>
                </c:pt>
              </c:numCache>
            </c:numRef>
          </c:yVal>
          <c:smooth val="0"/>
          <c:extLst>
            <c:ext xmlns:c16="http://schemas.microsoft.com/office/drawing/2014/chart" uri="{C3380CC4-5D6E-409C-BE32-E72D297353CC}">
              <c16:uniqueId val="{0000000F-4C84-468D-AAA8-C1B1EC29346C}"/>
            </c:ext>
          </c:extLst>
        </c:ser>
        <c:ser>
          <c:idx val="1"/>
          <c:order val="3"/>
          <c:tx>
            <c:strRef>
              <c:f>'Table 1'!$A$51</c:f>
              <c:strCache>
                <c:ptCount val="1"/>
                <c:pt idx="0">
                  <c:v>     Psychological or Emotional Abuse</c:v>
                </c:pt>
              </c:strCache>
            </c:strRef>
          </c:tx>
          <c:spPr>
            <a:ln w="25400">
              <a:solidFill>
                <a:srgbClr val="82B682"/>
              </a:solidFill>
              <a:prstDash val="solid"/>
            </a:ln>
          </c:spPr>
          <c:marker>
            <c:spPr>
              <a:solidFill>
                <a:schemeClr val="accent4"/>
              </a:solidFill>
              <a:ln>
                <a:solidFill>
                  <a:srgbClr val="8EBE8D"/>
                </a:solidFill>
              </a:ln>
            </c:spPr>
          </c:marker>
          <c:dLbls>
            <c:dLbl>
              <c:idx val="15"/>
              <c:spPr/>
              <c:txPr>
                <a:bodyPr/>
                <a:lstStyle/>
                <a:p>
                  <a:pPr>
                    <a:defRPr sz="1100" b="0" i="0" u="none" strike="noStrike" baseline="0">
                      <a:solidFill>
                        <a:srgbClr val="000000"/>
                      </a:solidFill>
                      <a:latin typeface="Calibri"/>
                      <a:ea typeface="Calibri"/>
                      <a:cs typeface="Calibri"/>
                    </a:defRPr>
                  </a:pPr>
                  <a:endParaRPr lang="en-US"/>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C84-468D-AAA8-C1B1EC29346C}"/>
                </c:ext>
              </c:extLst>
            </c:dLbl>
            <c:dLbl>
              <c:idx val="17"/>
              <c:layout>
                <c:manualLayout>
                  <c:x val="-2.1724398727994847E-2"/>
                  <c:y val="4.0589947126960166E-2"/>
                </c:manualLayout>
              </c:layout>
              <c:spPr/>
              <c:txPr>
                <a:bodyPr/>
                <a:lstStyle/>
                <a:p>
                  <a:pPr>
                    <a:defRPr sz="1100" b="0" i="0" u="none" strike="noStrike" baseline="0">
                      <a:solidFill>
                        <a:srgbClr val="000000"/>
                      </a:solidFill>
                      <a:latin typeface="Calibri"/>
                      <a:ea typeface="Calibri"/>
                      <a:cs typeface="Calibri"/>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C84-468D-AAA8-C1B1EC29346C}"/>
                </c:ext>
              </c:extLst>
            </c:dLbl>
            <c:dLbl>
              <c:idx val="21"/>
              <c:spPr/>
              <c:txPr>
                <a:bodyPr/>
                <a:lstStyle/>
                <a:p>
                  <a:pPr>
                    <a:defRPr sz="1100" b="0" i="0" u="none" strike="noStrike" baseline="0">
                      <a:solidFill>
                        <a:srgbClr val="000000"/>
                      </a:solidFill>
                      <a:latin typeface="Calibri"/>
                      <a:ea typeface="Calibri"/>
                      <a:cs typeface="Calibri"/>
                    </a:defRPr>
                  </a:pPr>
                  <a:endParaRPr lang="en-US"/>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C84-468D-AAA8-C1B1EC29346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'Table 1'!$B$2:$W$2</c:f>
              <c:numCache>
                <c:formatCode>General</c:formatCode>
                <c:ptCount val="22"/>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numCache>
            </c:numRef>
          </c:xVal>
          <c:yVal>
            <c:numRef>
              <c:f>'Table 1'!$B$51:$W$51</c:f>
              <c:numCache>
                <c:formatCode>0</c:formatCode>
                <c:ptCount val="22"/>
                <c:pt idx="0">
                  <c:v>7</c:v>
                </c:pt>
                <c:pt idx="1">
                  <c:v>6</c:v>
                </c:pt>
                <c:pt idx="2">
                  <c:v>5</c:v>
                </c:pt>
                <c:pt idx="3">
                  <c:v>5</c:v>
                </c:pt>
                <c:pt idx="4">
                  <c:v>5</c:v>
                </c:pt>
                <c:pt idx="5">
                  <c:v>4</c:v>
                </c:pt>
                <c:pt idx="6">
                  <c:v>6</c:v>
                </c:pt>
                <c:pt idx="7">
                  <c:v>6</c:v>
                </c:pt>
                <c:pt idx="8">
                  <c:v>6</c:v>
                </c:pt>
                <c:pt idx="9">
                  <c:v>8</c:v>
                </c:pt>
                <c:pt idx="10">
                  <c:v>8</c:v>
                </c:pt>
                <c:pt idx="11">
                  <c:v>6.8</c:v>
                </c:pt>
                <c:pt idx="12">
                  <c:v>6.5</c:v>
                </c:pt>
                <c:pt idx="13">
                  <c:v>4.9000000000000004</c:v>
                </c:pt>
                <c:pt idx="14">
                  <c:v>7</c:v>
                </c:pt>
                <c:pt idx="15">
                  <c:v>7.1</c:v>
                </c:pt>
                <c:pt idx="16">
                  <c:v>6.6</c:v>
                </c:pt>
                <c:pt idx="17">
                  <c:v>4</c:v>
                </c:pt>
                <c:pt idx="18">
                  <c:v>7</c:v>
                </c:pt>
                <c:pt idx="19">
                  <c:v>8</c:v>
                </c:pt>
                <c:pt idx="20">
                  <c:v>8</c:v>
                </c:pt>
                <c:pt idx="21">
                  <c:v>9</c:v>
                </c:pt>
              </c:numCache>
            </c:numRef>
          </c:yVal>
          <c:smooth val="0"/>
          <c:extLst>
            <c:ext xmlns:c16="http://schemas.microsoft.com/office/drawing/2014/chart" uri="{C3380CC4-5D6E-409C-BE32-E72D297353CC}">
              <c16:uniqueId val="{00000013-4C84-468D-AAA8-C1B1EC29346C}"/>
            </c:ext>
          </c:extLst>
        </c:ser>
        <c:ser>
          <c:idx val="5"/>
          <c:order val="5"/>
          <c:tx>
            <c:strRef>
              <c:f>'Table 1'!$A$53</c:f>
              <c:strCache>
                <c:ptCount val="1"/>
                <c:pt idx="0">
                  <c:v>     Other and Unknown</c:v>
                </c:pt>
              </c:strCache>
            </c:strRef>
          </c:tx>
          <c:xVal>
            <c:numRef>
              <c:f>'Table 1'!$B$2:$W$2</c:f>
              <c:numCache>
                <c:formatCode>General</c:formatCode>
                <c:ptCount val="22"/>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numCache>
            </c:numRef>
          </c:xVal>
          <c:yVal>
            <c:numRef>
              <c:f>'Table 1'!$B$53:$W$53</c:f>
              <c:numCache>
                <c:formatCode>0</c:formatCode>
                <c:ptCount val="22"/>
                <c:pt idx="0">
                  <c:v>10</c:v>
                </c:pt>
                <c:pt idx="1">
                  <c:v>13</c:v>
                </c:pt>
                <c:pt idx="2">
                  <c:v>21</c:v>
                </c:pt>
                <c:pt idx="3">
                  <c:v>17</c:v>
                </c:pt>
                <c:pt idx="4">
                  <c:v>16</c:v>
                </c:pt>
                <c:pt idx="5">
                  <c:v>17</c:v>
                </c:pt>
                <c:pt idx="6">
                  <c:v>19</c:v>
                </c:pt>
                <c:pt idx="7">
                  <c:v>12</c:v>
                </c:pt>
                <c:pt idx="8">
                  <c:v>26</c:v>
                </c:pt>
                <c:pt idx="9">
                  <c:v>28</c:v>
                </c:pt>
                <c:pt idx="10">
                  <c:v>16.600000000000001</c:v>
                </c:pt>
                <c:pt idx="11">
                  <c:v>19.8</c:v>
                </c:pt>
                <c:pt idx="12">
                  <c:v>18.899999999999999</c:v>
                </c:pt>
                <c:pt idx="13">
                  <c:v>16.899999999999999</c:v>
                </c:pt>
                <c:pt idx="14">
                  <c:v>14.7</c:v>
                </c:pt>
                <c:pt idx="15">
                  <c:v>15.4</c:v>
                </c:pt>
                <c:pt idx="16">
                  <c:v>15</c:v>
                </c:pt>
                <c:pt idx="17">
                  <c:v>17</c:v>
                </c:pt>
                <c:pt idx="18">
                  <c:v>9</c:v>
                </c:pt>
                <c:pt idx="19">
                  <c:v>10</c:v>
                </c:pt>
                <c:pt idx="20">
                  <c:v>10</c:v>
                </c:pt>
                <c:pt idx="21">
                  <c:v>10.6</c:v>
                </c:pt>
              </c:numCache>
            </c:numRef>
          </c:yVal>
          <c:smooth val="0"/>
          <c:extLst>
            <c:ext xmlns:c16="http://schemas.microsoft.com/office/drawing/2014/chart" uri="{C3380CC4-5D6E-409C-BE32-E72D297353CC}">
              <c16:uniqueId val="{00000014-4C84-468D-AAA8-C1B1EC29346C}"/>
            </c:ext>
          </c:extLst>
        </c:ser>
        <c:dLbls>
          <c:showLegendKey val="0"/>
          <c:showVal val="0"/>
          <c:showCatName val="0"/>
          <c:showSerName val="0"/>
          <c:showPercent val="0"/>
          <c:showBubbleSize val="0"/>
        </c:dLbls>
        <c:axId val="72833280"/>
        <c:axId val="72840704"/>
      </c:scatterChart>
      <c:scatterChart>
        <c:scatterStyle val="lineMarker"/>
        <c:varyColors val="0"/>
        <c:ser>
          <c:idx val="3"/>
          <c:order val="4"/>
          <c:tx>
            <c:strRef>
              <c:f>'Table 1'!$A$52</c:f>
              <c:strCache>
                <c:ptCount val="1"/>
                <c:pt idx="0">
                  <c:v>     Medical Neglect</c:v>
                </c:pt>
              </c:strCache>
            </c:strRef>
          </c:tx>
          <c:xVal>
            <c:numRef>
              <c:f>'Table 1'!$B$2:$W$2</c:f>
              <c:numCache>
                <c:formatCode>General</c:formatCode>
                <c:ptCount val="22"/>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numCache>
            </c:numRef>
          </c:xVal>
          <c:yVal>
            <c:numRef>
              <c:f>'Table 1'!$B$52:$W$52</c:f>
              <c:numCache>
                <c:formatCode>0</c:formatCode>
                <c:ptCount val="22"/>
                <c:pt idx="0">
                  <c:v>0</c:v>
                </c:pt>
                <c:pt idx="1">
                  <c:v>2</c:v>
                </c:pt>
                <c:pt idx="2">
                  <c:v>3</c:v>
                </c:pt>
                <c:pt idx="3">
                  <c:v>2</c:v>
                </c:pt>
                <c:pt idx="4">
                  <c:v>2</c:v>
                </c:pt>
                <c:pt idx="5">
                  <c:v>3</c:v>
                </c:pt>
                <c:pt idx="6">
                  <c:v>3</c:v>
                </c:pt>
                <c:pt idx="7">
                  <c:v>2</c:v>
                </c:pt>
                <c:pt idx="8">
                  <c:v>2</c:v>
                </c:pt>
                <c:pt idx="9">
                  <c:v>2</c:v>
                </c:pt>
                <c:pt idx="10">
                  <c:v>3</c:v>
                </c:pt>
                <c:pt idx="11">
                  <c:v>2</c:v>
                </c:pt>
                <c:pt idx="12" formatCode="General">
                  <c:v>2</c:v>
                </c:pt>
                <c:pt idx="13">
                  <c:v>2.2999999999999998</c:v>
                </c:pt>
                <c:pt idx="14">
                  <c:v>2.1</c:v>
                </c:pt>
                <c:pt idx="15">
                  <c:v>2</c:v>
                </c:pt>
                <c:pt idx="16">
                  <c:v>2.2000000000000002</c:v>
                </c:pt>
                <c:pt idx="17">
                  <c:v>1</c:v>
                </c:pt>
                <c:pt idx="18">
                  <c:v>2</c:v>
                </c:pt>
                <c:pt idx="19">
                  <c:v>2</c:v>
                </c:pt>
                <c:pt idx="20">
                  <c:v>2</c:v>
                </c:pt>
                <c:pt idx="21">
                  <c:v>2.2000000000000002</c:v>
                </c:pt>
              </c:numCache>
            </c:numRef>
          </c:yVal>
          <c:smooth val="0"/>
          <c:extLst>
            <c:ext xmlns:c16="http://schemas.microsoft.com/office/drawing/2014/chart" uri="{C3380CC4-5D6E-409C-BE32-E72D297353CC}">
              <c16:uniqueId val="{00000015-4C84-468D-AAA8-C1B1EC29346C}"/>
            </c:ext>
          </c:extLst>
        </c:ser>
        <c:dLbls>
          <c:showLegendKey val="0"/>
          <c:showVal val="0"/>
          <c:showCatName val="0"/>
          <c:showSerName val="0"/>
          <c:showPercent val="0"/>
          <c:showBubbleSize val="0"/>
        </c:dLbls>
        <c:axId val="72842624"/>
        <c:axId val="72849664"/>
      </c:scatterChart>
      <c:valAx>
        <c:axId val="72833280"/>
        <c:scaling>
          <c:orientation val="minMax"/>
          <c:max val="2013"/>
          <c:min val="1988"/>
        </c:scaling>
        <c:delete val="0"/>
        <c:axPos val="b"/>
        <c:numFmt formatCode="General" sourceLinked="1"/>
        <c:majorTickMark val="out"/>
        <c:minorTickMark val="out"/>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840704"/>
        <c:crosses val="autoZero"/>
        <c:crossBetween val="midCat"/>
        <c:majorUnit val="2"/>
        <c:minorUnit val="1"/>
      </c:valAx>
      <c:valAx>
        <c:axId val="72840704"/>
        <c:scaling>
          <c:orientation val="minMax"/>
          <c:max val="100"/>
          <c:min val="0"/>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Number of Cases per Year</a:t>
                </a:r>
              </a:p>
            </c:rich>
          </c:tx>
          <c:layout>
            <c:manualLayout>
              <c:xMode val="edge"/>
              <c:yMode val="edge"/>
              <c:x val="3.3370828646419196E-3"/>
              <c:y val="0.29296237970253719"/>
            </c:manualLayout>
          </c:layout>
          <c:overlay val="0"/>
        </c:title>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833280"/>
        <c:crosses val="autoZero"/>
        <c:crossBetween val="midCat"/>
      </c:valAx>
      <c:valAx>
        <c:axId val="72842624"/>
        <c:scaling>
          <c:orientation val="minMax"/>
        </c:scaling>
        <c:delete val="1"/>
        <c:axPos val="b"/>
        <c:numFmt formatCode="General" sourceLinked="1"/>
        <c:majorTickMark val="out"/>
        <c:minorTickMark val="none"/>
        <c:tickLblPos val="nextTo"/>
        <c:crossAx val="72849664"/>
        <c:crosses val="autoZero"/>
        <c:crossBetween val="midCat"/>
      </c:valAx>
      <c:valAx>
        <c:axId val="72849664"/>
        <c:scaling>
          <c:orientation val="minMax"/>
          <c:max val="25"/>
        </c:scaling>
        <c:delete val="0"/>
        <c:axPos val="r"/>
        <c:title>
          <c:tx>
            <c:rich>
              <a:bodyPr/>
              <a:lstStyle/>
              <a:p>
                <a:pPr>
                  <a:defRPr sz="1000" b="1" i="0" u="none" strike="noStrike" baseline="0">
                    <a:solidFill>
                      <a:srgbClr val="000000"/>
                    </a:solidFill>
                    <a:latin typeface="Calibri"/>
                    <a:ea typeface="Calibri"/>
                    <a:cs typeface="Calibri"/>
                  </a:defRPr>
                </a:pPr>
                <a:r>
                  <a:rPr lang="en-US"/>
                  <a:t>Rate Per 1,000</a:t>
                </a:r>
              </a:p>
            </c:rich>
          </c:tx>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842624"/>
        <c:crosses val="max"/>
        <c:crossBetween val="midCat"/>
      </c:valAx>
    </c:plotArea>
    <c:legend>
      <c:legendPos val="t"/>
      <c:layout>
        <c:manualLayout>
          <c:xMode val="edge"/>
          <c:yMode val="edge"/>
          <c:x val="0.13787545787545788"/>
          <c:y val="0.13099801161218483"/>
          <c:w val="0.76483516483516489"/>
          <c:h val="7.4931997136721551E-2"/>
        </c:manualLayout>
      </c:layout>
      <c:overlay val="0"/>
      <c:spPr>
        <a:solidFill>
          <a:schemeClr val="lt1"/>
        </a:solidFill>
        <a:ln w="25400" cap="flat" cmpd="sng" algn="ctr">
          <a:solidFill>
            <a:schemeClr val="dk1"/>
          </a:solidFill>
          <a:prstDash val="solid"/>
        </a:ln>
        <a:effectLst/>
      </c:spPr>
      <c:txPr>
        <a:bodyPr/>
        <a:lstStyle/>
        <a:p>
          <a:pPr>
            <a:defRPr sz="71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11" l="0.70000000000000007" r="0.70000000000000007" t="0.75000000000000011" header="0.30000000000000004" footer="0.30000000000000004"/>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absoluteAnchor>
    <xdr:pos x="9372600" y="15379700"/>
    <xdr:ext cx="9112250" cy="6178550"/>
    <xdr:graphicFrame macro="">
      <xdr:nvGraphicFramePr>
        <xdr:cNvPr id="2" name="Chart 1">
          <a:extLst>
            <a:ext uri="{FF2B5EF4-FFF2-40B4-BE49-F238E27FC236}">
              <a16:creationId xmlns:a16="http://schemas.microsoft.com/office/drawing/2014/main" id="{5AE19925-5AF6-41BE-8E01-3DF4B6E6714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xdr:from>
      <xdr:col>27</xdr:col>
      <xdr:colOff>0</xdr:colOff>
      <xdr:row>57</xdr:row>
      <xdr:rowOff>0</xdr:rowOff>
    </xdr:from>
    <xdr:to>
      <xdr:col>29</xdr:col>
      <xdr:colOff>69850</xdr:colOff>
      <xdr:row>57</xdr:row>
      <xdr:rowOff>336550</xdr:rowOff>
    </xdr:to>
    <xdr:sp macro="" textlink="">
      <xdr:nvSpPr>
        <xdr:cNvPr id="3" name="TextBox 2">
          <a:extLst>
            <a:ext uri="{FF2B5EF4-FFF2-40B4-BE49-F238E27FC236}">
              <a16:creationId xmlns:a16="http://schemas.microsoft.com/office/drawing/2014/main" id="{8A758A75-9F4A-4E3F-808D-644A03DBBBBE}"/>
            </a:ext>
          </a:extLst>
        </xdr:cNvPr>
        <xdr:cNvSpPr txBox="1"/>
      </xdr:nvSpPr>
      <xdr:spPr>
        <a:xfrm>
          <a:off x="61036200" y="9048750"/>
          <a:ext cx="4591050" cy="158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a:solidFill>
                <a:srgbClr val="007CC2"/>
              </a:solidFill>
              <a:latin typeface="Lato" panose="020F0502020204030203" pitchFamily="34" charset="0"/>
              <a:ea typeface="Lato" panose="020F0502020204030203" pitchFamily="34" charset="0"/>
              <a:cs typeface="Lato" panose="020F0502020204030203" pitchFamily="34" charset="0"/>
            </a:rPr>
            <a:t>childtrends.org</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cdr:x>
      <cdr:y>0.71953</cdr:y>
    </cdr:from>
    <cdr:to>
      <cdr:x>0.7842</cdr:x>
      <cdr:y>0.98333</cdr:y>
    </cdr:to>
    <cdr:sp macro="" textlink="">
      <cdr:nvSpPr>
        <cdr:cNvPr id="15361" name="Text Box 1"/>
        <cdr:cNvSpPr txBox="1">
          <a:spLocks xmlns:a="http://schemas.openxmlformats.org/drawingml/2006/main" noChangeArrowheads="1"/>
        </cdr:cNvSpPr>
      </cdr:nvSpPr>
      <cdr:spPr bwMode="auto">
        <a:xfrm xmlns:a="http://schemas.openxmlformats.org/drawingml/2006/main">
          <a:off x="0" y="4523345"/>
          <a:ext cx="6797250" cy="165838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rtl="0">
            <a:lnSpc>
              <a:spcPts val="900"/>
            </a:lnSpc>
          </a:pPr>
          <a:r>
            <a:rPr lang="en-US" sz="800" b="0" i="0">
              <a:latin typeface="+mn-lt"/>
              <a:ea typeface="+mn-ea"/>
              <a:cs typeface="+mn-cs"/>
            </a:rPr>
            <a:t>Sources: Rate per 1000 for 1990-1999 and number of victims for 1994, 1998, 1999, and 2000: U.S. Department of Health and Human Services, Administration on Children, Youth, and Families. Child Maltreatment 1999. Population estimates for 1999: Population Estimates Program, Population Division, U.S. Census Bureau.  Internet release date: April 11, 2000;  All other estimates for 1990-1999 except rate per 1000: Trends in the Well-Being of America's Children and Youth 2001. Table HC 2.10 U.S. Department of Health and Human Services. Office of the Assistant Secretary for Planning and Evaluation; Data for 2000: U.S. Department of Health and Human Services, Administration on Children, Youth and Families, Child Maltreatment 2000 (Washington, DC: U.S. Government Printing Office, 2002); Data for 2001: U.S. Department of Health and Human Services, Administration on Children, Youth and Families, Child Maltreatment 2001  (Washington, DC: U.S. Government Printing Office, 2003);  Population estimates for 2000 and 2001 from original analysis by Child Trends of Bridged Race 2000 and 2001 Population Estimates for Calculating Vital Rates, National Center for Health Statistics, Centers for Disease Control and Prevention. 2003. http://www.cdc.gov/nchs/about/major/dvs/popbridge/popbridge.htm. </a:t>
          </a:r>
          <a:endParaRPr lang="en-US" sz="800"/>
        </a:p>
        <a:p xmlns:a="http://schemas.openxmlformats.org/drawingml/2006/main">
          <a:pPr rtl="0">
            <a:lnSpc>
              <a:spcPts val="900"/>
            </a:lnSpc>
          </a:pPr>
          <a:r>
            <a:rPr lang="en-US" sz="800" b="0" i="0">
              <a:latin typeface="+mn-lt"/>
              <a:ea typeface="+mn-ea"/>
              <a:cs typeface="+mn-cs"/>
            </a:rPr>
            <a:t>Data for 2002-2010:  U.S. Department of Health and Human Services, Administration on Children, Youth and Families, Child Maltreatment </a:t>
          </a:r>
          <a:br>
            <a:rPr lang="en-US" sz="800" b="0" i="0">
              <a:latin typeface="+mn-lt"/>
              <a:ea typeface="+mn-ea"/>
              <a:cs typeface="+mn-cs"/>
            </a:rPr>
          </a:br>
          <a:r>
            <a:rPr lang="en-US" sz="800" b="0" i="0">
              <a:latin typeface="+mn-lt"/>
              <a:ea typeface="+mn-ea"/>
              <a:cs typeface="+mn-cs"/>
            </a:rPr>
            <a:t>(multiple years) (Washington, DC: U.S.  Government Printing Office.</a:t>
          </a:r>
          <a:r>
            <a:rPr lang="en-US" sz="800" b="0" i="0" baseline="0">
              <a:latin typeface="+mn-lt"/>
              <a:ea typeface="+mn-ea"/>
              <a:cs typeface="+mn-cs"/>
            </a:rPr>
            <a:t>  </a:t>
          </a:r>
          <a:br>
            <a:rPr lang="en-US" sz="800" b="0" i="0" baseline="0">
              <a:latin typeface="+mn-lt"/>
              <a:ea typeface="+mn-ea"/>
              <a:cs typeface="+mn-cs"/>
            </a:rPr>
          </a:br>
          <a:r>
            <a:rPr lang="en-US" sz="800" b="0" i="0">
              <a:latin typeface="+mn-lt"/>
              <a:ea typeface="+mn-ea"/>
              <a:cs typeface="+mn-cs"/>
            </a:rPr>
            <a:t>Available at: http://www.acf.hhs.gov/programs/cb/stats_research/index.htm#can </a:t>
          </a:r>
          <a:endParaRPr lang="en-US" sz="800"/>
        </a:p>
      </cdr:txBody>
    </cdr:sp>
  </cdr:relSizeAnchor>
  <cdr:relSizeAnchor xmlns:cdr="http://schemas.openxmlformats.org/drawingml/2006/chartDrawing">
    <cdr:from>
      <cdr:x>0</cdr:x>
      <cdr:y>0</cdr:y>
    </cdr:from>
    <cdr:to>
      <cdr:x>0.07025</cdr:x>
      <cdr:y>0.0505</cdr:y>
    </cdr:to>
    <cdr:sp macro="" textlink="">
      <cdr:nvSpPr>
        <cdr:cNvPr id="15362" name="Text Box 2"/>
        <cdr:cNvSpPr txBox="1">
          <a:spLocks xmlns:a="http://schemas.openxmlformats.org/drawingml/2006/main" noChangeArrowheads="1"/>
        </cdr:cNvSpPr>
      </cdr:nvSpPr>
      <cdr:spPr bwMode="auto">
        <a:xfrm xmlns:a="http://schemas.openxmlformats.org/drawingml/2006/main">
          <a:off x="0" y="0"/>
          <a:ext cx="601549" cy="29389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1000" b="0" i="0" u="none" strike="noStrike" baseline="0">
              <a:solidFill>
                <a:srgbClr val="000000"/>
              </a:solidFill>
              <a:latin typeface="Arial"/>
              <a:cs typeface="Arial"/>
            </a:rPr>
            <a:t>Figure 1</a:t>
          </a:r>
        </a:p>
      </cdr:txBody>
    </cdr:sp>
  </cdr:relSizeAnchor>
  <cdr:relSizeAnchor xmlns:cdr="http://schemas.openxmlformats.org/drawingml/2006/chartDrawing">
    <cdr:from>
      <cdr:x>0.75306</cdr:x>
      <cdr:y>0.89793</cdr:y>
    </cdr:from>
    <cdr:to>
      <cdr:x>0.98795</cdr:x>
      <cdr:y>0.98189</cdr:y>
    </cdr:to>
    <cdr:pic>
      <cdr:nvPicPr>
        <cdr:cNvPr id="11" name="Picture 10" descr="Child Trends DataBank Logo FINAL.jpg">
          <a:extLst xmlns:a="http://schemas.openxmlformats.org/drawingml/2006/main">
            <a:ext uri="{FF2B5EF4-FFF2-40B4-BE49-F238E27FC236}">
              <a16:creationId xmlns:a16="http://schemas.microsoft.com/office/drawing/2014/main" id="{82C84AD1-608E-4F54-B2B4-93ACCC7DB86C}"/>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6448425" y="5230192"/>
          <a:ext cx="2011340" cy="489023"/>
        </a:xfrm>
        <a:prstGeom xmlns:a="http://schemas.openxmlformats.org/drawingml/2006/main" prst="rect">
          <a:avLst/>
        </a:prstGeom>
      </cdr:spPr>
    </cdr:pic>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40%20Child%20Maltreatment_0411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s"/>
      <sheetName val="Table 2"/>
      <sheetName val="Figure 1"/>
      <sheetName val="Figre 1-2017"/>
      <sheetName val="Line Chart (Double axis)"/>
      <sheetName val="Figure 2"/>
      <sheetName val="Vertical Bar Chart"/>
      <sheetName val="Figure 2-2017"/>
      <sheetName val="Figure 3"/>
      <sheetName val="Figure 3-2017"/>
      <sheetName val="Data for Figs"/>
      <sheetName val="data for figures"/>
      <sheetName val="other data"/>
      <sheetName val="Sheet3"/>
    </sheetNames>
    <sheetDataSet>
      <sheetData sheetId="0"/>
      <sheetData sheetId="1"/>
      <sheetData sheetId="3"/>
      <sheetData sheetId="4"/>
      <sheetData sheetId="6"/>
      <sheetData sheetId="7"/>
      <sheetData sheetId="9"/>
      <sheetData sheetId="10">
        <row r="22">
          <cell r="Y22">
            <v>758.28899999999999</v>
          </cell>
        </row>
      </sheetData>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4E8F7-7157-496C-BE12-709242F52CF9}">
  <sheetPr>
    <pageSetUpPr fitToPage="1"/>
  </sheetPr>
  <dimension ref="A1:AC66"/>
  <sheetViews>
    <sheetView tabSelected="1" zoomScaleNormal="100" workbookViewId="0">
      <pane xSplit="1" ySplit="2" topLeftCell="B51" activePane="bottomRight" state="frozen"/>
      <selection pane="topRight" activeCell="B1" sqref="B1"/>
      <selection pane="bottomLeft" activeCell="A4" sqref="A4"/>
      <selection pane="bottomRight" activeCell="A55" sqref="A55:R55"/>
    </sheetView>
  </sheetViews>
  <sheetFormatPr defaultColWidth="32.36328125" defaultRowHeight="14"/>
  <cols>
    <col min="1" max="1" width="44.08984375" style="2" customWidth="1"/>
    <col min="2" max="4" width="9.453125" style="1" bestFit="1" customWidth="1"/>
    <col min="5" max="8" width="11.08984375" style="1" bestFit="1" customWidth="1"/>
    <col min="9" max="23" width="9.453125" style="1" bestFit="1" customWidth="1"/>
    <col min="24" max="24" width="12.54296875" style="1" customWidth="1"/>
    <col min="25" max="25" width="13.08984375" style="1" customWidth="1"/>
    <col min="26" max="49" width="13.6328125" style="1" customWidth="1"/>
    <col min="50" max="16384" width="32.36328125" style="1"/>
  </cols>
  <sheetData>
    <row r="1" spans="1:29" ht="58.5" customHeight="1">
      <c r="A1" s="41" t="s">
        <v>45</v>
      </c>
      <c r="B1" s="41"/>
      <c r="C1" s="41"/>
      <c r="D1" s="41"/>
      <c r="E1" s="41"/>
      <c r="F1" s="41"/>
      <c r="G1" s="41"/>
      <c r="H1" s="41"/>
      <c r="I1" s="41"/>
      <c r="J1" s="41"/>
      <c r="K1" s="41"/>
      <c r="L1" s="41"/>
      <c r="M1" s="40"/>
      <c r="N1" s="40"/>
      <c r="O1" s="40"/>
      <c r="P1" s="40"/>
      <c r="Q1" s="40"/>
      <c r="R1" s="40"/>
    </row>
    <row r="2" spans="1:29">
      <c r="A2" s="39"/>
      <c r="B2" s="38">
        <v>1990</v>
      </c>
      <c r="C2" s="38">
        <v>1991</v>
      </c>
      <c r="D2" s="38">
        <v>1992</v>
      </c>
      <c r="E2" s="38">
        <v>1993</v>
      </c>
      <c r="F2" s="38">
        <v>1994</v>
      </c>
      <c r="G2" s="38">
        <v>1995</v>
      </c>
      <c r="H2" s="38">
        <v>1996</v>
      </c>
      <c r="I2" s="38">
        <v>1997</v>
      </c>
      <c r="J2" s="38">
        <v>1998</v>
      </c>
      <c r="K2" s="38">
        <v>1999</v>
      </c>
      <c r="L2" s="38">
        <v>2000</v>
      </c>
      <c r="M2" s="38">
        <v>2001</v>
      </c>
      <c r="N2" s="38">
        <v>2002</v>
      </c>
      <c r="O2" s="38">
        <v>2003</v>
      </c>
      <c r="P2" s="38">
        <v>2004</v>
      </c>
      <c r="Q2" s="38">
        <v>2005</v>
      </c>
      <c r="R2" s="38">
        <v>2006</v>
      </c>
      <c r="S2" s="38">
        <v>2007</v>
      </c>
      <c r="T2" s="38">
        <v>2008</v>
      </c>
      <c r="U2" s="38">
        <v>2009</v>
      </c>
      <c r="V2" s="38">
        <v>2010</v>
      </c>
      <c r="W2" s="38">
        <v>2011</v>
      </c>
      <c r="X2" s="38">
        <v>2012</v>
      </c>
      <c r="Y2" s="38">
        <v>2013</v>
      </c>
      <c r="Z2" s="38">
        <v>2014</v>
      </c>
      <c r="AA2" s="38">
        <v>2015</v>
      </c>
      <c r="AB2" s="38">
        <v>2016</v>
      </c>
      <c r="AC2" s="38">
        <v>2017</v>
      </c>
    </row>
    <row r="3" spans="1:29" ht="16.5">
      <c r="A3" s="1" t="s">
        <v>44</v>
      </c>
      <c r="B3" s="37">
        <v>861000</v>
      </c>
      <c r="C3" s="37">
        <v>912000</v>
      </c>
      <c r="D3" s="37">
        <v>995000</v>
      </c>
      <c r="E3" s="37">
        <v>1026000</v>
      </c>
      <c r="F3" s="37">
        <v>1032000</v>
      </c>
      <c r="G3" s="37">
        <v>1006000</v>
      </c>
      <c r="H3" s="37">
        <v>1012000</v>
      </c>
      <c r="I3" s="37">
        <v>957000</v>
      </c>
      <c r="J3" s="37">
        <v>904000</v>
      </c>
      <c r="K3" s="37">
        <v>829000</v>
      </c>
      <c r="L3" s="37">
        <v>881000</v>
      </c>
      <c r="M3" s="37">
        <v>903000</v>
      </c>
      <c r="N3" s="37">
        <v>896000</v>
      </c>
      <c r="O3" s="37">
        <v>906000</v>
      </c>
      <c r="P3" s="37">
        <v>877120</v>
      </c>
      <c r="Q3" s="36">
        <v>900642</v>
      </c>
      <c r="R3" s="36">
        <v>885681</v>
      </c>
      <c r="S3" s="36">
        <v>751038</v>
      </c>
      <c r="T3" s="36">
        <f>'[1]Data for Figs'!Y22*1000</f>
        <v>758289</v>
      </c>
      <c r="U3" s="36">
        <v>702000</v>
      </c>
      <c r="V3" s="36">
        <v>688000</v>
      </c>
      <c r="W3" s="36">
        <v>677000</v>
      </c>
      <c r="X3" s="36">
        <v>680000</v>
      </c>
      <c r="Y3" s="36">
        <v>682000</v>
      </c>
      <c r="Z3" s="36">
        <v>702000</v>
      </c>
      <c r="AA3" s="36">
        <v>683000</v>
      </c>
      <c r="AB3" s="36">
        <v>672000</v>
      </c>
      <c r="AC3" s="35">
        <v>674000</v>
      </c>
    </row>
    <row r="4" spans="1:29" ht="6" customHeight="1">
      <c r="A4" s="1"/>
      <c r="B4" s="23"/>
      <c r="C4" s="23"/>
      <c r="D4" s="23"/>
      <c r="E4" s="23"/>
      <c r="F4" s="23"/>
      <c r="G4" s="23"/>
      <c r="H4" s="23"/>
      <c r="I4" s="23"/>
      <c r="J4" s="23"/>
      <c r="K4" s="23"/>
      <c r="AC4" s="22"/>
    </row>
    <row r="5" spans="1:29">
      <c r="A5" s="1" t="s">
        <v>43</v>
      </c>
      <c r="B5" s="23">
        <v>13.4</v>
      </c>
      <c r="C5" s="24">
        <v>14</v>
      </c>
      <c r="D5" s="23">
        <v>15.1</v>
      </c>
      <c r="E5" s="23">
        <v>15.3</v>
      </c>
      <c r="F5" s="23">
        <v>15.2</v>
      </c>
      <c r="G5" s="23">
        <v>14.7</v>
      </c>
      <c r="H5" s="23">
        <v>14.7</v>
      </c>
      <c r="I5" s="23">
        <v>13.8</v>
      </c>
      <c r="J5" s="23">
        <v>12.9</v>
      </c>
      <c r="K5" s="23">
        <v>11.8</v>
      </c>
      <c r="L5" s="12">
        <v>12.2</v>
      </c>
      <c r="M5" s="12">
        <v>12.4</v>
      </c>
      <c r="N5" s="24">
        <v>12.3</v>
      </c>
      <c r="O5" s="24">
        <v>12.4</v>
      </c>
      <c r="P5" s="24">
        <v>12</v>
      </c>
      <c r="Q5" s="1">
        <v>12.1</v>
      </c>
      <c r="R5" s="1">
        <v>12.1</v>
      </c>
      <c r="S5" s="1">
        <v>10.6</v>
      </c>
      <c r="T5" s="1">
        <v>10.3</v>
      </c>
      <c r="U5" s="34">
        <v>9.3090998516953025</v>
      </c>
      <c r="V5" s="34">
        <v>9.2799496683621712</v>
      </c>
      <c r="W5" s="34">
        <v>9.1532116014347427</v>
      </c>
      <c r="X5" s="34">
        <v>9.1240877136298444</v>
      </c>
      <c r="Y5" s="33">
        <v>9.1999999999999993</v>
      </c>
      <c r="Z5" s="33">
        <v>9.4</v>
      </c>
      <c r="AA5" s="33">
        <v>9.1999999999999993</v>
      </c>
      <c r="AB5" s="33">
        <v>9.1</v>
      </c>
      <c r="AC5" s="32">
        <v>9.1</v>
      </c>
    </row>
    <row r="6" spans="1:29" ht="6" customHeight="1">
      <c r="A6" s="1"/>
      <c r="B6" s="23"/>
      <c r="C6" s="23"/>
      <c r="D6" s="23"/>
      <c r="E6" s="23"/>
      <c r="F6" s="23"/>
      <c r="G6" s="23"/>
      <c r="H6" s="23"/>
      <c r="I6" s="23"/>
      <c r="J6" s="23"/>
      <c r="K6" s="23"/>
      <c r="L6" s="25"/>
      <c r="M6" s="25"/>
      <c r="N6" s="11"/>
      <c r="O6" s="11"/>
      <c r="P6" s="11"/>
      <c r="AC6" s="22"/>
    </row>
    <row r="7" spans="1:29">
      <c r="A7" s="1" t="s">
        <v>42</v>
      </c>
      <c r="B7" s="23"/>
      <c r="C7" s="23"/>
      <c r="D7" s="23"/>
      <c r="E7" s="23"/>
      <c r="F7" s="23"/>
      <c r="G7" s="23"/>
      <c r="H7" s="23"/>
      <c r="I7" s="23"/>
      <c r="J7" s="23"/>
      <c r="K7" s="23"/>
      <c r="L7" s="25"/>
      <c r="M7" s="25"/>
      <c r="N7" s="11"/>
      <c r="O7" s="11"/>
      <c r="P7" s="11"/>
      <c r="Q7" s="11"/>
      <c r="R7" s="11"/>
      <c r="S7" s="11"/>
      <c r="T7" s="11"/>
      <c r="U7" s="11"/>
      <c r="V7" s="11"/>
      <c r="W7" s="11"/>
      <c r="X7" s="11"/>
      <c r="AC7" s="22"/>
    </row>
    <row r="8" spans="1:29">
      <c r="A8" s="20" t="s">
        <v>10</v>
      </c>
      <c r="B8" s="23"/>
      <c r="C8" s="23"/>
      <c r="D8" s="23"/>
      <c r="E8" s="23"/>
      <c r="F8" s="23"/>
      <c r="G8" s="23"/>
      <c r="H8" s="23"/>
      <c r="I8" s="23"/>
      <c r="J8" s="23"/>
      <c r="K8" s="23"/>
      <c r="L8" s="25"/>
      <c r="M8" s="25"/>
      <c r="N8" s="11"/>
      <c r="O8" s="11"/>
      <c r="P8" s="11"/>
      <c r="Q8" s="11"/>
      <c r="R8" s="11"/>
      <c r="S8" s="11"/>
      <c r="T8" s="11"/>
      <c r="U8" s="11"/>
      <c r="V8" s="11"/>
      <c r="W8" s="11"/>
      <c r="X8" s="11"/>
      <c r="AC8" s="22"/>
    </row>
    <row r="9" spans="1:29">
      <c r="A9" s="20" t="s">
        <v>41</v>
      </c>
      <c r="B9" s="23">
        <v>44</v>
      </c>
      <c r="C9" s="23">
        <v>45</v>
      </c>
      <c r="D9" s="23">
        <v>45</v>
      </c>
      <c r="E9" s="23">
        <v>41</v>
      </c>
      <c r="F9" s="23">
        <v>41</v>
      </c>
      <c r="G9" s="23">
        <v>40</v>
      </c>
      <c r="H9" s="23">
        <v>39</v>
      </c>
      <c r="I9" s="23">
        <v>40</v>
      </c>
      <c r="J9" s="23">
        <v>48</v>
      </c>
      <c r="K9" s="23">
        <v>48</v>
      </c>
      <c r="L9" s="25">
        <v>48</v>
      </c>
      <c r="M9" s="25">
        <v>48</v>
      </c>
      <c r="N9" s="19">
        <v>48.1</v>
      </c>
      <c r="O9" s="19">
        <v>48.3</v>
      </c>
      <c r="P9" s="19">
        <v>48.3</v>
      </c>
      <c r="Q9" s="11">
        <v>47.3</v>
      </c>
      <c r="R9" s="11">
        <v>48</v>
      </c>
      <c r="S9" s="11">
        <v>48</v>
      </c>
      <c r="T9" s="11">
        <v>48</v>
      </c>
      <c r="U9" s="11">
        <v>48</v>
      </c>
      <c r="V9" s="11">
        <v>49</v>
      </c>
      <c r="W9" s="11">
        <v>48.6</v>
      </c>
      <c r="X9" s="11">
        <v>48.7</v>
      </c>
      <c r="Y9" s="11">
        <v>48.740374588324002</v>
      </c>
      <c r="Z9" s="11">
        <f>34368400/702208</f>
        <v>48.943333029529711</v>
      </c>
      <c r="AA9" s="11">
        <f>332464/6834.78</f>
        <v>48.642970219963189</v>
      </c>
      <c r="AB9" s="11">
        <f>326707/6716.22</f>
        <v>48.644475612770279</v>
      </c>
      <c r="AC9" s="16">
        <f>327373/6738.3</f>
        <v>48.583915824466111</v>
      </c>
    </row>
    <row r="10" spans="1:29">
      <c r="A10" s="20" t="s">
        <v>40</v>
      </c>
      <c r="B10" s="23">
        <v>50</v>
      </c>
      <c r="C10" s="23">
        <v>52</v>
      </c>
      <c r="D10" s="23">
        <v>51</v>
      </c>
      <c r="E10" s="23">
        <v>47</v>
      </c>
      <c r="F10" s="23">
        <v>46</v>
      </c>
      <c r="G10" s="23">
        <v>45</v>
      </c>
      <c r="H10" s="23">
        <v>43</v>
      </c>
      <c r="I10" s="23">
        <v>44</v>
      </c>
      <c r="J10" s="23">
        <v>52</v>
      </c>
      <c r="K10" s="23">
        <v>52</v>
      </c>
      <c r="L10" s="25">
        <v>51.9</v>
      </c>
      <c r="M10" s="25">
        <v>51.5</v>
      </c>
      <c r="N10" s="19">
        <v>51.9</v>
      </c>
      <c r="O10" s="19">
        <v>51.7</v>
      </c>
      <c r="P10" s="19">
        <v>51.7</v>
      </c>
      <c r="Q10" s="11">
        <v>51</v>
      </c>
      <c r="R10" s="11">
        <v>52</v>
      </c>
      <c r="S10" s="11">
        <v>52</v>
      </c>
      <c r="T10" s="11">
        <v>52</v>
      </c>
      <c r="U10" s="11">
        <v>52</v>
      </c>
      <c r="V10" s="11">
        <v>51</v>
      </c>
      <c r="W10" s="11">
        <v>51.1</v>
      </c>
      <c r="X10" s="11">
        <v>50.9</v>
      </c>
      <c r="Y10" s="11">
        <v>50.908338390295349</v>
      </c>
      <c r="Z10" s="11">
        <f>35592800/702208</f>
        <v>50.686975938753193</v>
      </c>
      <c r="AA10" s="11">
        <f>348087/6834.78</f>
        <v>50.928778980449998</v>
      </c>
      <c r="AB10" s="11">
        <f>342203/6716.22</f>
        <v>50.951725821965333</v>
      </c>
      <c r="AC10" s="16">
        <f>343949/6738.3</f>
        <v>51.043883472092368</v>
      </c>
    </row>
    <row r="11" spans="1:29" ht="6" customHeight="1">
      <c r="A11" s="1"/>
      <c r="B11" s="23"/>
      <c r="C11" s="23"/>
      <c r="D11" s="23"/>
      <c r="E11" s="23"/>
      <c r="F11" s="23"/>
      <c r="G11" s="23"/>
      <c r="H11" s="23"/>
      <c r="I11" s="23"/>
      <c r="J11" s="23"/>
      <c r="K11" s="23"/>
      <c r="L11" s="31"/>
      <c r="M11" s="31"/>
      <c r="N11" s="11"/>
      <c r="O11" s="11"/>
      <c r="P11" s="11"/>
      <c r="Q11" s="11"/>
      <c r="R11" s="11"/>
      <c r="S11" s="11"/>
      <c r="T11" s="11"/>
      <c r="U11" s="11"/>
      <c r="V11" s="11"/>
      <c r="W11" s="11"/>
      <c r="X11" s="11"/>
      <c r="AC11" s="22"/>
    </row>
    <row r="12" spans="1:29" ht="15.75" customHeight="1">
      <c r="A12" s="1" t="s">
        <v>33</v>
      </c>
      <c r="B12" s="23"/>
      <c r="C12" s="23"/>
      <c r="D12" s="23"/>
      <c r="E12" s="23"/>
      <c r="F12" s="23"/>
      <c r="G12" s="23"/>
      <c r="H12" s="23"/>
      <c r="I12" s="23"/>
      <c r="J12" s="23"/>
      <c r="K12" s="23"/>
      <c r="L12" s="31"/>
      <c r="M12" s="31"/>
      <c r="N12" s="11"/>
      <c r="O12" s="11"/>
      <c r="P12" s="11"/>
      <c r="Q12" s="11"/>
      <c r="R12" s="11"/>
      <c r="S12" s="11"/>
      <c r="T12" s="11"/>
      <c r="U12" s="11"/>
      <c r="V12" s="11"/>
      <c r="W12" s="11"/>
      <c r="X12" s="11"/>
      <c r="AC12" s="22"/>
    </row>
    <row r="13" spans="1:29" ht="15.75" customHeight="1">
      <c r="A13" s="20" t="s">
        <v>10</v>
      </c>
      <c r="B13" s="23"/>
      <c r="C13" s="23"/>
      <c r="D13" s="23"/>
      <c r="E13" s="23"/>
      <c r="F13" s="23"/>
      <c r="G13" s="23"/>
      <c r="H13" s="23"/>
      <c r="I13" s="23"/>
      <c r="J13" s="23"/>
      <c r="K13" s="23"/>
      <c r="L13" s="31"/>
      <c r="M13" s="31"/>
      <c r="N13" s="11"/>
      <c r="O13" s="11"/>
      <c r="P13" s="11"/>
      <c r="Q13" s="11"/>
      <c r="R13" s="11"/>
      <c r="S13" s="11"/>
      <c r="T13" s="11"/>
      <c r="U13" s="11"/>
      <c r="V13" s="11"/>
      <c r="W13" s="11"/>
      <c r="X13" s="11"/>
      <c r="AC13" s="22"/>
    </row>
    <row r="14" spans="1:29" ht="15.75" customHeight="1">
      <c r="A14" s="20" t="s">
        <v>39</v>
      </c>
      <c r="B14" s="23">
        <v>13</v>
      </c>
      <c r="C14" s="23">
        <v>14</v>
      </c>
      <c r="D14" s="23">
        <v>13</v>
      </c>
      <c r="E14" s="23">
        <v>12</v>
      </c>
      <c r="F14" s="23">
        <v>12</v>
      </c>
      <c r="G14" s="23">
        <v>11</v>
      </c>
      <c r="H14" s="23">
        <v>11</v>
      </c>
      <c r="I14" s="23">
        <v>11</v>
      </c>
      <c r="J14" s="23">
        <v>14</v>
      </c>
      <c r="K14" s="23">
        <v>14</v>
      </c>
      <c r="L14" s="25">
        <v>15.336104492408301</v>
      </c>
      <c r="M14" s="25">
        <v>15.587168042130953</v>
      </c>
      <c r="N14" s="19">
        <v>15.8</v>
      </c>
      <c r="O14" s="19">
        <v>16.2</v>
      </c>
      <c r="P14" s="19">
        <v>16.7</v>
      </c>
      <c r="Q14" s="17" t="s">
        <v>12</v>
      </c>
      <c r="R14" s="25" t="s">
        <v>12</v>
      </c>
      <c r="S14" s="25" t="s">
        <v>12</v>
      </c>
      <c r="T14" s="25" t="s">
        <v>12</v>
      </c>
      <c r="U14" s="25" t="s">
        <v>12</v>
      </c>
      <c r="V14" s="25" t="s">
        <v>12</v>
      </c>
      <c r="W14" s="25">
        <v>19.797241670842148</v>
      </c>
      <c r="X14" s="25">
        <v>19.7</v>
      </c>
      <c r="Y14" s="25">
        <v>20.526356100463669</v>
      </c>
      <c r="Z14" s="25">
        <f>(97072+49228)/7022.08</f>
        <v>20.83428271965002</v>
      </c>
      <c r="AA14" s="25">
        <f>(97044+47310)/6834.87</f>
        <v>21.120226134513167</v>
      </c>
      <c r="AB14" s="25">
        <f>(98393+47583)/6716.22</f>
        <v>21.734844897874101</v>
      </c>
      <c r="AC14" s="27">
        <f>(100457+46843)/6738.3</f>
        <v>21.860113084902721</v>
      </c>
    </row>
    <row r="15" spans="1:29" ht="15.75" customHeight="1">
      <c r="A15" s="20" t="s">
        <v>38</v>
      </c>
      <c r="B15" s="23">
        <v>24</v>
      </c>
      <c r="C15" s="23">
        <v>25</v>
      </c>
      <c r="D15" s="23">
        <v>25</v>
      </c>
      <c r="E15" s="23">
        <v>23</v>
      </c>
      <c r="F15" s="23">
        <v>23</v>
      </c>
      <c r="G15" s="23">
        <v>23</v>
      </c>
      <c r="H15" s="23">
        <v>22</v>
      </c>
      <c r="I15" s="23">
        <v>21</v>
      </c>
      <c r="J15" s="23">
        <v>25</v>
      </c>
      <c r="K15" s="23">
        <v>24</v>
      </c>
      <c r="L15" s="25">
        <v>23.69596094868718</v>
      </c>
      <c r="M15" s="25">
        <v>23.888453961901874</v>
      </c>
      <c r="N15" s="11">
        <v>24.3</v>
      </c>
      <c r="O15" s="11">
        <v>24.8</v>
      </c>
      <c r="P15" s="11">
        <v>24.9</v>
      </c>
      <c r="Q15" s="17" t="s">
        <v>12</v>
      </c>
      <c r="R15" s="25" t="s">
        <v>12</v>
      </c>
      <c r="S15" s="25" t="s">
        <v>12</v>
      </c>
      <c r="T15" s="25" t="s">
        <v>12</v>
      </c>
      <c r="U15" s="25" t="s">
        <v>12</v>
      </c>
      <c r="V15" s="25" t="s">
        <v>12</v>
      </c>
      <c r="W15" s="25">
        <v>26.773322454915906</v>
      </c>
      <c r="X15" s="25">
        <v>26.9</v>
      </c>
      <c r="Y15" s="25">
        <v>26.504716230786002</v>
      </c>
      <c r="Z15" s="25">
        <f>(46233+44561+44459+45401)/7022.08</f>
        <v>25.72656534815895</v>
      </c>
      <c r="AA15" s="25">
        <f>(45302+42775+41849+42411)/6834.78</f>
        <v>25.214710641747065</v>
      </c>
      <c r="AB15" s="25">
        <f>(44800+42045+40312+39773)/6716.22</f>
        <v>24.854754608991367</v>
      </c>
      <c r="AC15" s="27">
        <f>(44503+41981+40336+39572)/6738.3</f>
        <v>24.693468679043676</v>
      </c>
    </row>
    <row r="16" spans="1:29" ht="15.75" customHeight="1">
      <c r="A16" s="20" t="s">
        <v>37</v>
      </c>
      <c r="B16" s="23">
        <v>22</v>
      </c>
      <c r="C16" s="23">
        <v>23</v>
      </c>
      <c r="D16" s="23">
        <v>23</v>
      </c>
      <c r="E16" s="23">
        <v>21</v>
      </c>
      <c r="F16" s="23">
        <v>20</v>
      </c>
      <c r="G16" s="23">
        <v>21</v>
      </c>
      <c r="H16" s="23">
        <v>21</v>
      </c>
      <c r="I16" s="23">
        <v>21</v>
      </c>
      <c r="J16" s="23">
        <v>25</v>
      </c>
      <c r="K16" s="23">
        <v>25</v>
      </c>
      <c r="L16" s="25">
        <v>24.402780434921244</v>
      </c>
      <c r="M16" s="25">
        <v>24.115895554037309</v>
      </c>
      <c r="N16" s="11">
        <v>23.1</v>
      </c>
      <c r="O16" s="11">
        <v>22.5</v>
      </c>
      <c r="P16" s="11">
        <v>22.2</v>
      </c>
      <c r="Q16" s="17" t="s">
        <v>12</v>
      </c>
      <c r="R16" s="25" t="s">
        <v>12</v>
      </c>
      <c r="S16" s="25" t="s">
        <v>12</v>
      </c>
      <c r="T16" s="25" t="s">
        <v>12</v>
      </c>
      <c r="U16" s="25" t="s">
        <v>12</v>
      </c>
      <c r="V16" s="25" t="s">
        <v>12</v>
      </c>
      <c r="W16" s="25">
        <v>21.049146502426211</v>
      </c>
      <c r="X16" s="25">
        <v>21.4</v>
      </c>
      <c r="Y16" s="25">
        <v>21.78244654840249</v>
      </c>
      <c r="Z16" s="25">
        <f>(44224+41245+36915+33848 )/7022.08</f>
        <v>22.248678454247173</v>
      </c>
      <c r="AA16" s="25">
        <f>(42543+40135+37000+33341)/6834.78</f>
        <v>22.388284626571743</v>
      </c>
      <c r="AB16" s="25">
        <f>(38900+36776+33848+39990)/6716.22</f>
        <v>22.261629309343647</v>
      </c>
      <c r="AC16" s="27">
        <f>(38116+37644+36333+34342)/6738.3</f>
        <v>21.731742427615274</v>
      </c>
    </row>
    <row r="17" spans="1:29" ht="15.75" customHeight="1">
      <c r="A17" s="20" t="s">
        <v>36</v>
      </c>
      <c r="B17" s="23">
        <v>19</v>
      </c>
      <c r="C17" s="23">
        <v>20</v>
      </c>
      <c r="D17" s="23">
        <v>19</v>
      </c>
      <c r="E17" s="23">
        <v>18</v>
      </c>
      <c r="F17" s="23">
        <v>17</v>
      </c>
      <c r="G17" s="23">
        <v>17</v>
      </c>
      <c r="H17" s="23">
        <v>16</v>
      </c>
      <c r="I17" s="23">
        <v>17</v>
      </c>
      <c r="J17" s="23">
        <v>20</v>
      </c>
      <c r="K17" s="23">
        <v>20</v>
      </c>
      <c r="L17" s="25">
        <v>20.27398530937846</v>
      </c>
      <c r="M17" s="25">
        <v>20.956295558909478</v>
      </c>
      <c r="N17" s="11">
        <v>20.9</v>
      </c>
      <c r="O17" s="11">
        <v>20.7</v>
      </c>
      <c r="P17" s="11">
        <v>20.3</v>
      </c>
      <c r="Q17" s="17" t="s">
        <v>12</v>
      </c>
      <c r="R17" s="25" t="s">
        <v>12</v>
      </c>
      <c r="S17" s="25" t="s">
        <v>12</v>
      </c>
      <c r="T17" s="25" t="s">
        <v>12</v>
      </c>
      <c r="U17" s="25" t="s">
        <v>12</v>
      </c>
      <c r="V17" s="25" t="s">
        <v>12</v>
      </c>
      <c r="W17" s="25">
        <v>17.422613214616693</v>
      </c>
      <c r="X17" s="25">
        <v>17.399999999999999</v>
      </c>
      <c r="Y17" s="25">
        <v>16.956779176706945</v>
      </c>
      <c r="Z17" s="25">
        <f>(31270+29285+29184+29514  )/7022.08</f>
        <v>16.982574963543566</v>
      </c>
      <c r="AA17" s="25">
        <f>(30296+28516+28055+28286)/6834.78</f>
        <v>16.848091672299621</v>
      </c>
      <c r="AB17" s="25">
        <f>(30529+28155+27544+27560)/6716.22</f>
        <v>16.942268121056188</v>
      </c>
      <c r="AC17" s="27">
        <f>(31955+28943+28190+27892)/6738.3</f>
        <v>17.360461837555466</v>
      </c>
    </row>
    <row r="18" spans="1:29" ht="15.75" customHeight="1">
      <c r="A18" s="20" t="s">
        <v>35</v>
      </c>
      <c r="B18" s="23">
        <v>14</v>
      </c>
      <c r="C18" s="23">
        <v>15</v>
      </c>
      <c r="D18" s="23">
        <v>15</v>
      </c>
      <c r="E18" s="23">
        <v>14</v>
      </c>
      <c r="F18" s="23">
        <v>13</v>
      </c>
      <c r="G18" s="23">
        <v>13</v>
      </c>
      <c r="H18" s="23">
        <v>13</v>
      </c>
      <c r="I18" s="23">
        <v>12</v>
      </c>
      <c r="J18" s="23">
        <v>15</v>
      </c>
      <c r="K18" s="23">
        <v>15</v>
      </c>
      <c r="L18" s="25">
        <v>14.536410595335408</v>
      </c>
      <c r="M18" s="25">
        <v>14.848813350622143</v>
      </c>
      <c r="N18" s="11">
        <v>15.1</v>
      </c>
      <c r="O18" s="11">
        <v>15.1</v>
      </c>
      <c r="P18" s="11">
        <v>15.5</v>
      </c>
      <c r="Q18" s="17" t="s">
        <v>12</v>
      </c>
      <c r="R18" s="25" t="s">
        <v>12</v>
      </c>
      <c r="S18" s="25" t="s">
        <v>12</v>
      </c>
      <c r="T18" s="25" t="s">
        <v>12</v>
      </c>
      <c r="U18" s="25" t="s">
        <v>12</v>
      </c>
      <c r="V18" s="25" t="s">
        <v>12</v>
      </c>
      <c r="W18" s="25">
        <v>14.574566673909093</v>
      </c>
      <c r="X18" s="25">
        <v>14.1</v>
      </c>
      <c r="Y18" s="25">
        <v>13.765590662982449</v>
      </c>
      <c r="Z18" s="25">
        <f>(29332+28106+24156+14834 )/7022.08</f>
        <v>13.732113561793657</v>
      </c>
      <c r="AA18" s="25">
        <f>(28605+28030+23731+14768)/6834.78</f>
        <v>13.919102004746312</v>
      </c>
      <c r="AB18" s="25">
        <f>(27500+26784+23303+15334)/6716.22</f>
        <v>13.83531212497506</v>
      </c>
      <c r="AC18" s="27">
        <f>(27559+26912+23785+15699)/6738.3</f>
        <v>13.943427867563035</v>
      </c>
    </row>
    <row r="19" spans="1:29" ht="15.75" customHeight="1">
      <c r="A19" s="20" t="s">
        <v>34</v>
      </c>
      <c r="B19" s="23">
        <v>1</v>
      </c>
      <c r="C19" s="23">
        <v>1</v>
      </c>
      <c r="D19" s="23">
        <v>1</v>
      </c>
      <c r="E19" s="23">
        <v>1</v>
      </c>
      <c r="F19" s="23">
        <v>1</v>
      </c>
      <c r="G19" s="23">
        <v>1</v>
      </c>
      <c r="H19" s="23">
        <v>1</v>
      </c>
      <c r="I19" s="23">
        <v>0</v>
      </c>
      <c r="J19" s="23">
        <v>1</v>
      </c>
      <c r="K19" s="23">
        <v>1</v>
      </c>
      <c r="L19" s="25">
        <v>0.11536833805821753</v>
      </c>
      <c r="M19" s="25">
        <v>0.17229752549305771</v>
      </c>
      <c r="N19" s="11">
        <v>0.1</v>
      </c>
      <c r="O19" s="11">
        <v>0.1</v>
      </c>
      <c r="P19" s="11">
        <v>0.1</v>
      </c>
      <c r="Q19" s="17" t="s">
        <v>12</v>
      </c>
      <c r="R19" s="25" t="s">
        <v>12</v>
      </c>
      <c r="S19" s="25" t="s">
        <v>12</v>
      </c>
      <c r="T19" s="25" t="s">
        <v>12</v>
      </c>
      <c r="U19" s="25" t="s">
        <v>12</v>
      </c>
      <c r="V19" s="25" t="s">
        <v>12</v>
      </c>
      <c r="W19" s="25" t="s">
        <v>12</v>
      </c>
      <c r="X19" s="25">
        <v>0.1</v>
      </c>
      <c r="Y19" s="25">
        <v>0.46411128065844592</v>
      </c>
      <c r="Z19" s="25">
        <f>3341/7022.08</f>
        <v>0.47578495260663506</v>
      </c>
      <c r="AA19" s="25">
        <f>3490/6834.78</f>
        <v>0.5106236045637168</v>
      </c>
      <c r="AB19" s="25">
        <f>2493/6716.22</f>
        <v>0.37119093775963263</v>
      </c>
      <c r="AC19" s="27">
        <f>2768/6738.3</f>
        <v>0.41078610331982846</v>
      </c>
    </row>
    <row r="20" spans="1:29" ht="6" customHeight="1">
      <c r="A20" s="1"/>
      <c r="B20" s="23"/>
      <c r="C20" s="23"/>
      <c r="D20" s="23"/>
      <c r="E20" s="23"/>
      <c r="F20" s="23"/>
      <c r="G20" s="23"/>
      <c r="H20" s="23"/>
      <c r="I20" s="23"/>
      <c r="J20" s="23"/>
      <c r="K20" s="23"/>
      <c r="Q20" s="11"/>
      <c r="R20" s="11"/>
      <c r="S20" s="11"/>
      <c r="T20" s="11"/>
      <c r="U20" s="11"/>
      <c r="V20" s="11"/>
      <c r="W20" s="11"/>
      <c r="X20" s="11"/>
      <c r="Y20" s="11"/>
      <c r="Z20" s="11"/>
      <c r="AA20" s="11"/>
      <c r="AB20" s="11"/>
      <c r="AC20" s="16"/>
    </row>
    <row r="21" spans="1:29" ht="16.5" customHeight="1">
      <c r="A21" s="1" t="s">
        <v>33</v>
      </c>
      <c r="B21" s="23"/>
      <c r="C21" s="23"/>
      <c r="D21" s="23"/>
      <c r="E21" s="23"/>
      <c r="F21" s="23"/>
      <c r="G21" s="23"/>
      <c r="H21" s="23"/>
      <c r="I21" s="23"/>
      <c r="J21" s="23"/>
      <c r="K21" s="23"/>
      <c r="Q21" s="11"/>
      <c r="R21" s="11"/>
      <c r="S21" s="11"/>
      <c r="T21" s="11"/>
      <c r="U21" s="11"/>
      <c r="V21" s="11"/>
      <c r="W21" s="11"/>
      <c r="X21" s="11"/>
      <c r="Y21" s="11"/>
      <c r="Z21" s="11"/>
      <c r="AA21" s="11"/>
      <c r="AB21" s="11"/>
      <c r="AC21" s="16"/>
    </row>
    <row r="22" spans="1:29" ht="16.5" customHeight="1">
      <c r="A22" s="20" t="s">
        <v>10</v>
      </c>
      <c r="B22" s="23"/>
      <c r="C22" s="23"/>
      <c r="D22" s="23"/>
      <c r="E22" s="23"/>
      <c r="F22" s="23"/>
      <c r="G22" s="23"/>
      <c r="H22" s="23"/>
      <c r="I22" s="23"/>
      <c r="J22" s="23"/>
      <c r="K22" s="23"/>
      <c r="L22" s="31"/>
      <c r="M22" s="31"/>
      <c r="N22" s="11"/>
      <c r="O22" s="11"/>
      <c r="P22" s="11"/>
      <c r="Q22" s="11"/>
      <c r="R22" s="11"/>
      <c r="S22" s="11"/>
      <c r="T22" s="11"/>
      <c r="U22" s="11"/>
      <c r="V22" s="11"/>
      <c r="W22" s="11"/>
      <c r="X22" s="11"/>
      <c r="Y22" s="11"/>
      <c r="Z22" s="11"/>
      <c r="AA22" s="11"/>
      <c r="AB22" s="11"/>
      <c r="AC22" s="16"/>
    </row>
    <row r="23" spans="1:29" ht="16.5" customHeight="1">
      <c r="A23" s="20" t="s">
        <v>32</v>
      </c>
      <c r="B23" s="31" t="s">
        <v>12</v>
      </c>
      <c r="C23" s="31" t="s">
        <v>12</v>
      </c>
      <c r="D23" s="31" t="s">
        <v>12</v>
      </c>
      <c r="E23" s="31" t="s">
        <v>12</v>
      </c>
      <c r="F23" s="31" t="s">
        <v>12</v>
      </c>
      <c r="G23" s="31" t="s">
        <v>12</v>
      </c>
      <c r="H23" s="31" t="s">
        <v>12</v>
      </c>
      <c r="I23" s="31" t="s">
        <v>12</v>
      </c>
      <c r="J23" s="31" t="s">
        <v>12</v>
      </c>
      <c r="K23" s="31" t="s">
        <v>12</v>
      </c>
      <c r="L23" s="25" t="s">
        <v>12</v>
      </c>
      <c r="M23" s="25" t="s">
        <v>12</v>
      </c>
      <c r="N23" s="25" t="s">
        <v>12</v>
      </c>
      <c r="O23" s="25" t="s">
        <v>12</v>
      </c>
      <c r="P23" s="25" t="s">
        <v>12</v>
      </c>
      <c r="Q23" s="11">
        <v>30</v>
      </c>
      <c r="R23" s="25">
        <v>31</v>
      </c>
      <c r="S23" s="25">
        <v>32</v>
      </c>
      <c r="T23" s="25">
        <v>33</v>
      </c>
      <c r="U23" s="25">
        <v>33</v>
      </c>
      <c r="V23" s="25">
        <v>34</v>
      </c>
      <c r="W23" s="25">
        <v>33.897503432761475</v>
      </c>
      <c r="X23" s="25">
        <v>33.6</v>
      </c>
      <c r="Y23" s="11">
        <v>33.842417208203472</v>
      </c>
      <c r="Z23" s="11">
        <f>(97072+49228+46233+44561)/7022.08</f>
        <v>33.764069905213269</v>
      </c>
      <c r="AA23" s="11">
        <f>(97044+47310+45302+42775)/6834.78</f>
        <v>34.007093132478296</v>
      </c>
      <c r="AB23" s="11">
        <f>(98393+47583+44800+42045)/6716.22</f>
        <v>34.665481476187495</v>
      </c>
      <c r="AC23" s="16">
        <f>(100457+46843+44503+41981)/6738.3</f>
        <v>34.694804327501004</v>
      </c>
    </row>
    <row r="24" spans="1:29" ht="16.5" customHeight="1">
      <c r="A24" s="20" t="s">
        <v>31</v>
      </c>
      <c r="B24" s="31" t="s">
        <v>12</v>
      </c>
      <c r="C24" s="31" t="s">
        <v>12</v>
      </c>
      <c r="D24" s="31" t="s">
        <v>12</v>
      </c>
      <c r="E24" s="31" t="s">
        <v>12</v>
      </c>
      <c r="F24" s="31" t="s">
        <v>12</v>
      </c>
      <c r="G24" s="31" t="s">
        <v>12</v>
      </c>
      <c r="H24" s="31" t="s">
        <v>12</v>
      </c>
      <c r="I24" s="31" t="s">
        <v>12</v>
      </c>
      <c r="J24" s="31" t="s">
        <v>12</v>
      </c>
      <c r="K24" s="31" t="s">
        <v>12</v>
      </c>
      <c r="L24" s="25" t="s">
        <v>12</v>
      </c>
      <c r="M24" s="25" t="s">
        <v>12</v>
      </c>
      <c r="N24" s="25" t="s">
        <v>12</v>
      </c>
      <c r="O24" s="25" t="s">
        <v>12</v>
      </c>
      <c r="P24" s="25" t="s">
        <v>12</v>
      </c>
      <c r="Q24" s="25" t="s">
        <v>12</v>
      </c>
      <c r="R24" s="17">
        <v>11</v>
      </c>
      <c r="S24" s="17">
        <v>12</v>
      </c>
      <c r="T24" s="17">
        <v>12</v>
      </c>
      <c r="U24" s="17">
        <v>13</v>
      </c>
      <c r="V24" s="17">
        <v>13</v>
      </c>
      <c r="W24" s="17">
        <v>12.529690245932048</v>
      </c>
      <c r="X24" s="17">
        <v>12.8</v>
      </c>
      <c r="Y24" s="11">
        <v>13.554965740309779</v>
      </c>
      <c r="Z24" s="11">
        <f>(97072)/7022.08</f>
        <v>13.823824279985418</v>
      </c>
      <c r="AA24" s="11">
        <f>97044/6834.78</f>
        <v>14.198555037616426</v>
      </c>
      <c r="AB24" s="11">
        <f>98393/6716.22</f>
        <v>14.650056132765156</v>
      </c>
      <c r="AC24" s="16">
        <f>100457/6738.3</f>
        <v>14.908359675289018</v>
      </c>
    </row>
    <row r="25" spans="1:29" ht="16.5" customHeight="1">
      <c r="A25" s="20" t="s">
        <v>30</v>
      </c>
      <c r="B25" s="31" t="s">
        <v>12</v>
      </c>
      <c r="C25" s="31" t="s">
        <v>12</v>
      </c>
      <c r="D25" s="31" t="s">
        <v>12</v>
      </c>
      <c r="E25" s="31" t="s">
        <v>12</v>
      </c>
      <c r="F25" s="31" t="s">
        <v>12</v>
      </c>
      <c r="G25" s="31" t="s">
        <v>12</v>
      </c>
      <c r="H25" s="31" t="s">
        <v>12</v>
      </c>
      <c r="I25" s="31" t="s">
        <v>12</v>
      </c>
      <c r="J25" s="31" t="s">
        <v>12</v>
      </c>
      <c r="K25" s="31" t="s">
        <v>12</v>
      </c>
      <c r="L25" s="25" t="s">
        <v>12</v>
      </c>
      <c r="M25" s="25" t="s">
        <v>12</v>
      </c>
      <c r="N25" s="25" t="s">
        <v>12</v>
      </c>
      <c r="O25" s="25" t="s">
        <v>12</v>
      </c>
      <c r="P25" s="25" t="s">
        <v>12</v>
      </c>
      <c r="Q25" s="25" t="s">
        <v>12</v>
      </c>
      <c r="R25" s="17">
        <v>20</v>
      </c>
      <c r="S25" s="17"/>
      <c r="T25" s="17">
        <v>20</v>
      </c>
      <c r="U25" s="17">
        <v>21</v>
      </c>
      <c r="V25" s="17">
        <v>21</v>
      </c>
      <c r="W25" s="17">
        <v>21.36781318682943</v>
      </c>
      <c r="X25" s="17">
        <v>20.8</v>
      </c>
      <c r="Y25" s="25">
        <v>20.287451467893693</v>
      </c>
      <c r="Z25" s="25">
        <f>(49228+46233+44561)/7022.08</f>
        <v>19.940245625227853</v>
      </c>
      <c r="AA25" s="25">
        <f>(47310+45302+42775)/6834.78</f>
        <v>19.80853809486187</v>
      </c>
      <c r="AB25" s="25">
        <f>(47583+44800+42045)/6716.22</f>
        <v>20.01542534342234</v>
      </c>
      <c r="AC25" s="27">
        <f>(46843+44503+41981)/6738.3</f>
        <v>19.786444652211983</v>
      </c>
    </row>
    <row r="26" spans="1:29" ht="16.5" customHeight="1">
      <c r="A26" s="20" t="s">
        <v>29</v>
      </c>
      <c r="B26" s="31" t="s">
        <v>12</v>
      </c>
      <c r="C26" s="31" t="s">
        <v>12</v>
      </c>
      <c r="D26" s="31" t="s">
        <v>12</v>
      </c>
      <c r="E26" s="31" t="s">
        <v>12</v>
      </c>
      <c r="F26" s="31" t="s">
        <v>12</v>
      </c>
      <c r="G26" s="31" t="s">
        <v>12</v>
      </c>
      <c r="H26" s="31" t="s">
        <v>12</v>
      </c>
      <c r="I26" s="31" t="s">
        <v>12</v>
      </c>
      <c r="J26" s="31" t="s">
        <v>12</v>
      </c>
      <c r="K26" s="31" t="s">
        <v>12</v>
      </c>
      <c r="L26" s="25" t="s">
        <v>12</v>
      </c>
      <c r="M26" s="25" t="s">
        <v>12</v>
      </c>
      <c r="N26" s="25" t="s">
        <v>12</v>
      </c>
      <c r="O26" s="25" t="s">
        <v>12</v>
      </c>
      <c r="P26" s="25" t="s">
        <v>12</v>
      </c>
      <c r="Q26" s="17">
        <v>24</v>
      </c>
      <c r="R26" s="17">
        <v>24</v>
      </c>
      <c r="S26" s="17">
        <v>24</v>
      </c>
      <c r="T26" s="17">
        <v>24</v>
      </c>
      <c r="U26" s="17">
        <v>23</v>
      </c>
      <c r="V26" s="17">
        <v>23</v>
      </c>
      <c r="W26" s="17">
        <v>23.931779315930822</v>
      </c>
      <c r="X26" s="17">
        <v>24.7</v>
      </c>
      <c r="Y26" s="25">
        <v>25.068489922407544</v>
      </c>
      <c r="Z26" s="25">
        <f>(44459+45401+44224+41245)/7022.08</f>
        <v>24.96824302770689</v>
      </c>
      <c r="AA26" s="25">
        <f>(41849+42411+42543+40135)/6834.78</f>
        <v>24.424780314801648</v>
      </c>
      <c r="AB26" s="25">
        <f>(40312+39773+39990+38900)/6716.22</f>
        <v>23.670308596204411</v>
      </c>
      <c r="AC26" s="27">
        <f>(40336+39572+38116+37644)/6738.3</f>
        <v>23.101969339447635</v>
      </c>
    </row>
    <row r="27" spans="1:29" ht="16.5" customHeight="1">
      <c r="A27" s="20" t="s">
        <v>28</v>
      </c>
      <c r="B27" s="31" t="s">
        <v>12</v>
      </c>
      <c r="C27" s="31"/>
      <c r="D27" s="31" t="s">
        <v>12</v>
      </c>
      <c r="E27" s="31" t="s">
        <v>12</v>
      </c>
      <c r="F27" s="31" t="s">
        <v>12</v>
      </c>
      <c r="G27" s="31" t="s">
        <v>12</v>
      </c>
      <c r="H27" s="31" t="s">
        <v>12</v>
      </c>
      <c r="I27" s="31" t="s">
        <v>12</v>
      </c>
      <c r="J27" s="31" t="s">
        <v>12</v>
      </c>
      <c r="K27" s="31" t="s">
        <v>12</v>
      </c>
      <c r="L27" s="25" t="s">
        <v>12</v>
      </c>
      <c r="M27" s="25" t="s">
        <v>12</v>
      </c>
      <c r="N27" s="25" t="s">
        <v>12</v>
      </c>
      <c r="O27" s="25" t="s">
        <v>12</v>
      </c>
      <c r="P27" s="25" t="s">
        <v>12</v>
      </c>
      <c r="Q27" s="17">
        <v>20</v>
      </c>
      <c r="R27" s="17">
        <v>19</v>
      </c>
      <c r="S27" s="17">
        <v>19</v>
      </c>
      <c r="T27" s="17">
        <v>19</v>
      </c>
      <c r="U27" s="17">
        <v>19</v>
      </c>
      <c r="V27" s="17">
        <v>19</v>
      </c>
      <c r="W27" s="17">
        <v>18.660033196909701</v>
      </c>
      <c r="X27" s="17">
        <v>18.7</v>
      </c>
      <c r="Y27" s="25">
        <v>18.464883081074394</v>
      </c>
      <c r="Z27" s="25">
        <f>(36915+33848+31270+29285)/7022.08</f>
        <v>18.700726850164052</v>
      </c>
      <c r="AA27" s="25">
        <f>(37000+33341+30296+28516)/6834.78</f>
        <v>18.896438510091034</v>
      </c>
      <c r="AB27" s="25">
        <f>(36776+33848+30529+28155)/6716.22</f>
        <v>19.253091768881902</v>
      </c>
      <c r="AC27" s="27">
        <f>(36333+34342+31955+28943)/6738.3</f>
        <v>19.526141608417554</v>
      </c>
    </row>
    <row r="28" spans="1:29" ht="16.5" customHeight="1">
      <c r="A28" s="20" t="s">
        <v>27</v>
      </c>
      <c r="B28" s="31" t="s">
        <v>12</v>
      </c>
      <c r="C28" s="31" t="s">
        <v>12</v>
      </c>
      <c r="D28" s="31" t="s">
        <v>12</v>
      </c>
      <c r="E28" s="31" t="s">
        <v>12</v>
      </c>
      <c r="F28" s="31" t="s">
        <v>12</v>
      </c>
      <c r="G28" s="31" t="s">
        <v>12</v>
      </c>
      <c r="H28" s="31" t="s">
        <v>12</v>
      </c>
      <c r="I28" s="31" t="s">
        <v>12</v>
      </c>
      <c r="J28" s="31" t="s">
        <v>12</v>
      </c>
      <c r="K28" s="31" t="s">
        <v>12</v>
      </c>
      <c r="L28" s="25" t="s">
        <v>12</v>
      </c>
      <c r="M28" s="25" t="s">
        <v>12</v>
      </c>
      <c r="N28" s="25" t="s">
        <v>12</v>
      </c>
      <c r="O28" s="25" t="s">
        <v>12</v>
      </c>
      <c r="P28" s="25" t="s">
        <v>12</v>
      </c>
      <c r="Q28" s="17">
        <v>20</v>
      </c>
      <c r="R28" s="17">
        <v>19</v>
      </c>
      <c r="S28" s="17">
        <v>18.5</v>
      </c>
      <c r="T28" s="17">
        <v>18</v>
      </c>
      <c r="U28" s="17">
        <v>18</v>
      </c>
      <c r="V28" s="17">
        <v>17</v>
      </c>
      <c r="W28" s="17">
        <v>17.052953948525577</v>
      </c>
      <c r="X28" s="17">
        <v>16.8</v>
      </c>
      <c r="Y28" s="25">
        <v>16.610352730464907</v>
      </c>
      <c r="Z28" s="25">
        <f>(29184+29514+29332+28106)/7022.08</f>
        <v>16.538689391177542</v>
      </c>
      <c r="AA28" s="25">
        <f>(28055+28286+28605+28030)/6834.78</f>
        <v>16.529573739023057</v>
      </c>
      <c r="AB28" s="25">
        <f>(27544+27560+27500+26784)/6716.22</f>
        <v>16.287137705435498</v>
      </c>
      <c r="AC28" s="27">
        <f>(28190+27892+27559+26912)/6738.3</f>
        <v>16.406660433640532</v>
      </c>
    </row>
    <row r="29" spans="1:29" ht="16.5" customHeight="1">
      <c r="A29" s="20" t="s">
        <v>26</v>
      </c>
      <c r="B29" s="31" t="s">
        <v>12</v>
      </c>
      <c r="C29" s="31" t="s">
        <v>12</v>
      </c>
      <c r="D29" s="31" t="s">
        <v>12</v>
      </c>
      <c r="E29" s="31" t="s">
        <v>12</v>
      </c>
      <c r="F29" s="31" t="s">
        <v>12</v>
      </c>
      <c r="G29" s="31" t="s">
        <v>12</v>
      </c>
      <c r="H29" s="31" t="s">
        <v>12</v>
      </c>
      <c r="I29" s="31" t="s">
        <v>12</v>
      </c>
      <c r="J29" s="31" t="s">
        <v>12</v>
      </c>
      <c r="K29" s="31" t="s">
        <v>12</v>
      </c>
      <c r="L29" s="25" t="s">
        <v>12</v>
      </c>
      <c r="M29" s="25" t="s">
        <v>12</v>
      </c>
      <c r="N29" s="25" t="s">
        <v>12</v>
      </c>
      <c r="O29" s="25" t="s">
        <v>12</v>
      </c>
      <c r="P29" s="25" t="s">
        <v>12</v>
      </c>
      <c r="Q29" s="17">
        <v>6</v>
      </c>
      <c r="R29" s="17">
        <v>6</v>
      </c>
      <c r="S29" s="17">
        <v>6</v>
      </c>
      <c r="T29" s="17">
        <v>6</v>
      </c>
      <c r="U29" s="17">
        <v>6</v>
      </c>
      <c r="V29" s="17">
        <v>6</v>
      </c>
      <c r="W29" s="17">
        <v>6.0746206225824713</v>
      </c>
      <c r="X29" s="17">
        <v>5.8</v>
      </c>
      <c r="Y29" s="25">
        <v>5.5497457771912355</v>
      </c>
      <c r="Z29" s="25">
        <f>(24156+14834)/7022.08</f>
        <v>5.5524858731316078</v>
      </c>
      <c r="AA29" s="25">
        <f>(23731+14768)/6834.78</f>
        <v>5.6328074934379746</v>
      </c>
      <c r="AB29" s="25">
        <f>(23303+15334)/6716.22</f>
        <v>5.7527895155310578</v>
      </c>
      <c r="AC29" s="27">
        <f>(23785+15699)/6738.3</f>
        <v>5.8596381876734487</v>
      </c>
    </row>
    <row r="30" spans="1:29" ht="6" customHeight="1">
      <c r="A30" s="1"/>
      <c r="B30" s="23"/>
      <c r="C30" s="23"/>
      <c r="D30" s="23"/>
      <c r="E30" s="23"/>
      <c r="F30" s="23"/>
      <c r="G30" s="23"/>
      <c r="H30" s="23"/>
      <c r="I30" s="23" t="s">
        <v>12</v>
      </c>
      <c r="J30" s="23"/>
      <c r="K30" s="23"/>
      <c r="Q30" s="11"/>
      <c r="R30" s="11"/>
      <c r="S30" s="11"/>
      <c r="T30" s="11"/>
      <c r="U30" s="11"/>
      <c r="V30" s="11"/>
      <c r="W30" s="11"/>
      <c r="X30" s="11"/>
      <c r="AC30" s="22"/>
    </row>
    <row r="31" spans="1:29" ht="21.75" customHeight="1">
      <c r="A31" s="30"/>
      <c r="B31" s="29">
        <v>1990</v>
      </c>
      <c r="C31" s="29">
        <v>1991</v>
      </c>
      <c r="D31" s="29">
        <v>1992</v>
      </c>
      <c r="E31" s="29">
        <v>1993</v>
      </c>
      <c r="F31" s="29">
        <v>1994</v>
      </c>
      <c r="G31" s="29">
        <v>1995</v>
      </c>
      <c r="H31" s="29">
        <v>1996</v>
      </c>
      <c r="I31" s="29">
        <v>1997</v>
      </c>
      <c r="J31" s="29">
        <v>1998</v>
      </c>
      <c r="K31" s="29">
        <v>1999</v>
      </c>
      <c r="L31" s="29">
        <v>2000</v>
      </c>
      <c r="M31" s="29">
        <v>2001</v>
      </c>
      <c r="N31" s="29">
        <v>2002</v>
      </c>
      <c r="O31" s="29">
        <v>2003</v>
      </c>
      <c r="P31" s="29">
        <v>2004</v>
      </c>
      <c r="Q31" s="28">
        <v>2005</v>
      </c>
      <c r="R31" s="28">
        <v>2006</v>
      </c>
      <c r="S31" s="28">
        <v>2007</v>
      </c>
      <c r="T31" s="28">
        <v>2008</v>
      </c>
      <c r="U31" s="28">
        <v>2009</v>
      </c>
      <c r="V31" s="28">
        <v>2010</v>
      </c>
      <c r="W31" s="28">
        <v>2011</v>
      </c>
      <c r="X31" s="28">
        <v>2012</v>
      </c>
      <c r="Y31" s="28">
        <v>2013</v>
      </c>
      <c r="Z31" s="28">
        <v>2014</v>
      </c>
      <c r="AA31" s="28">
        <v>2015</v>
      </c>
      <c r="AB31" s="28">
        <v>2016</v>
      </c>
      <c r="AC31" s="28">
        <v>2017</v>
      </c>
    </row>
    <row r="32" spans="1:29" ht="21" customHeight="1">
      <c r="A32" s="1" t="s">
        <v>25</v>
      </c>
      <c r="B32" s="23"/>
      <c r="C32" s="23"/>
      <c r="D32" s="23"/>
      <c r="E32" s="23"/>
      <c r="F32" s="23"/>
      <c r="G32" s="23"/>
      <c r="H32" s="23"/>
      <c r="I32" s="23"/>
      <c r="J32" s="23"/>
      <c r="K32" s="23"/>
      <c r="Q32" s="11"/>
      <c r="R32" s="11"/>
      <c r="S32" s="11"/>
      <c r="T32" s="11"/>
      <c r="U32" s="11"/>
      <c r="V32" s="11"/>
      <c r="W32" s="11"/>
      <c r="X32" s="11"/>
      <c r="AC32" s="22"/>
    </row>
    <row r="33" spans="1:29" ht="15.75" customHeight="1">
      <c r="A33" s="20" t="s">
        <v>10</v>
      </c>
      <c r="B33" s="23"/>
      <c r="C33" s="23"/>
      <c r="D33" s="23"/>
      <c r="E33" s="23"/>
      <c r="F33" s="23"/>
      <c r="G33" s="23"/>
      <c r="H33" s="23"/>
      <c r="I33" s="23"/>
      <c r="J33" s="23"/>
      <c r="K33" s="23"/>
      <c r="Q33" s="11"/>
      <c r="R33" s="11"/>
      <c r="S33" s="11"/>
      <c r="T33" s="11"/>
      <c r="U33" s="11"/>
      <c r="V33" s="11"/>
      <c r="W33" s="11"/>
      <c r="X33" s="11"/>
      <c r="AC33" s="22"/>
    </row>
    <row r="34" spans="1:29">
      <c r="A34" s="20" t="s">
        <v>24</v>
      </c>
      <c r="B34" s="25">
        <v>53</v>
      </c>
      <c r="C34" s="25">
        <v>56</v>
      </c>
      <c r="D34" s="25">
        <v>53</v>
      </c>
      <c r="E34" s="25">
        <v>51</v>
      </c>
      <c r="F34" s="25">
        <v>48</v>
      </c>
      <c r="G34" s="25">
        <v>47</v>
      </c>
      <c r="H34" s="25">
        <v>50</v>
      </c>
      <c r="I34" s="25">
        <v>49</v>
      </c>
      <c r="J34" s="25">
        <v>56</v>
      </c>
      <c r="K34" s="25">
        <v>54</v>
      </c>
      <c r="L34" s="25">
        <v>51</v>
      </c>
      <c r="M34" s="25">
        <v>50.2</v>
      </c>
      <c r="N34" s="17" t="s">
        <v>12</v>
      </c>
      <c r="O34" s="17" t="s">
        <v>12</v>
      </c>
      <c r="P34" s="17" t="s">
        <v>12</v>
      </c>
      <c r="Q34" s="17" t="s">
        <v>12</v>
      </c>
      <c r="R34" s="25" t="s">
        <v>12</v>
      </c>
      <c r="S34" s="25" t="s">
        <v>12</v>
      </c>
      <c r="T34" s="25" t="s">
        <v>12</v>
      </c>
      <c r="U34" s="25" t="s">
        <v>12</v>
      </c>
      <c r="V34" s="25" t="s">
        <v>12</v>
      </c>
      <c r="W34" s="25" t="s">
        <v>12</v>
      </c>
      <c r="X34" s="25"/>
      <c r="Y34" s="25"/>
      <c r="Z34" s="25"/>
      <c r="AA34" s="25"/>
      <c r="AB34" s="25"/>
      <c r="AC34" s="27"/>
    </row>
    <row r="35" spans="1:29">
      <c r="A35" s="26" t="s">
        <v>23</v>
      </c>
      <c r="B35" s="17" t="s">
        <v>12</v>
      </c>
      <c r="C35" s="17" t="s">
        <v>12</v>
      </c>
      <c r="D35" s="17" t="s">
        <v>12</v>
      </c>
      <c r="E35" s="17" t="s">
        <v>12</v>
      </c>
      <c r="F35" s="17" t="s">
        <v>12</v>
      </c>
      <c r="G35" s="17" t="s">
        <v>12</v>
      </c>
      <c r="H35" s="17" t="s">
        <v>12</v>
      </c>
      <c r="I35" s="17" t="s">
        <v>12</v>
      </c>
      <c r="J35" s="17" t="s">
        <v>12</v>
      </c>
      <c r="K35" s="17" t="s">
        <v>12</v>
      </c>
      <c r="L35" s="17" t="s">
        <v>12</v>
      </c>
      <c r="M35" s="17" t="s">
        <v>12</v>
      </c>
      <c r="N35" s="25">
        <v>54</v>
      </c>
      <c r="O35" s="25">
        <v>53.6</v>
      </c>
      <c r="P35" s="25">
        <v>53.8</v>
      </c>
      <c r="Q35" s="25">
        <v>49.7</v>
      </c>
      <c r="R35" s="25">
        <v>48.8</v>
      </c>
      <c r="S35" s="25">
        <v>46</v>
      </c>
      <c r="T35" s="25">
        <v>45</v>
      </c>
      <c r="U35" s="25">
        <v>44</v>
      </c>
      <c r="V35" s="25">
        <v>45</v>
      </c>
      <c r="W35" s="25">
        <v>43.9</v>
      </c>
      <c r="X35" s="25">
        <v>44</v>
      </c>
      <c r="Y35" s="25">
        <v>44.038419060241146</v>
      </c>
      <c r="Z35" s="25">
        <f>298721/6795.68</f>
        <v>43.957484755020836</v>
      </c>
      <c r="AA35" s="25">
        <f>269252/6834.78</f>
        <v>39.394391626358129</v>
      </c>
      <c r="AB35" s="25">
        <f>296910/6716.22</f>
        <v>44.207902659531698</v>
      </c>
      <c r="AC35" s="27">
        <f>293504/6738.3</f>
        <v>43.557573868779961</v>
      </c>
    </row>
    <row r="36" spans="1:29">
      <c r="A36" s="20" t="s">
        <v>22</v>
      </c>
      <c r="B36" s="25">
        <v>25</v>
      </c>
      <c r="C36" s="25">
        <v>27</v>
      </c>
      <c r="D36" s="25">
        <v>27</v>
      </c>
      <c r="E36" s="25">
        <v>25</v>
      </c>
      <c r="F36" s="25">
        <v>25</v>
      </c>
      <c r="G36" s="25">
        <v>24</v>
      </c>
      <c r="H36" s="25">
        <v>22</v>
      </c>
      <c r="I36" s="25">
        <v>22</v>
      </c>
      <c r="J36" s="25">
        <v>25</v>
      </c>
      <c r="K36" s="25">
        <v>26</v>
      </c>
      <c r="L36" s="25">
        <v>25</v>
      </c>
      <c r="M36" s="25">
        <v>25</v>
      </c>
      <c r="N36" s="17" t="s">
        <v>12</v>
      </c>
      <c r="O36" s="17" t="s">
        <v>12</v>
      </c>
      <c r="P36" s="17" t="s">
        <v>12</v>
      </c>
      <c r="Q36" s="25" t="s">
        <v>12</v>
      </c>
      <c r="R36" s="25" t="s">
        <v>12</v>
      </c>
      <c r="S36" s="25" t="s">
        <v>12</v>
      </c>
      <c r="T36" s="25" t="s">
        <v>12</v>
      </c>
      <c r="U36" s="25" t="s">
        <v>12</v>
      </c>
      <c r="V36" s="25" t="s">
        <v>12</v>
      </c>
      <c r="W36" s="25" t="s">
        <v>12</v>
      </c>
      <c r="X36" s="25"/>
      <c r="Y36" s="25"/>
      <c r="Z36" s="25"/>
      <c r="AA36" s="25"/>
      <c r="AB36" s="25"/>
      <c r="AC36" s="27"/>
    </row>
    <row r="37" spans="1:29">
      <c r="A37" s="26" t="s">
        <v>21</v>
      </c>
      <c r="B37" s="17" t="s">
        <v>12</v>
      </c>
      <c r="C37" s="17" t="s">
        <v>12</v>
      </c>
      <c r="D37" s="17" t="s">
        <v>12</v>
      </c>
      <c r="E37" s="17" t="s">
        <v>12</v>
      </c>
      <c r="F37" s="17" t="s">
        <v>12</v>
      </c>
      <c r="G37" s="17" t="s">
        <v>12</v>
      </c>
      <c r="H37" s="17" t="s">
        <v>12</v>
      </c>
      <c r="I37" s="17" t="s">
        <v>12</v>
      </c>
      <c r="J37" s="17" t="s">
        <v>12</v>
      </c>
      <c r="K37" s="17" t="s">
        <v>12</v>
      </c>
      <c r="L37" s="17" t="s">
        <v>12</v>
      </c>
      <c r="M37" s="17" t="s">
        <v>12</v>
      </c>
      <c r="N37" s="25">
        <v>26</v>
      </c>
      <c r="O37" s="25">
        <v>25.5</v>
      </c>
      <c r="P37" s="25">
        <v>25.2</v>
      </c>
      <c r="Q37" s="11">
        <v>23.1</v>
      </c>
      <c r="R37" s="11">
        <v>22.8</v>
      </c>
      <c r="S37" s="11">
        <v>22</v>
      </c>
      <c r="T37" s="11">
        <v>22</v>
      </c>
      <c r="U37" s="11">
        <v>22</v>
      </c>
      <c r="V37" s="11">
        <v>22</v>
      </c>
      <c r="W37" s="11">
        <v>21.5</v>
      </c>
      <c r="X37" s="11">
        <v>21</v>
      </c>
      <c r="Y37" s="11">
        <v>21.171004425351704</v>
      </c>
      <c r="Z37" s="11">
        <f>145466/6795.68</f>
        <v>21.405657711958185</v>
      </c>
      <c r="AA37" s="11">
        <f>133060/6834.78</f>
        <v>19.468073588323254</v>
      </c>
      <c r="AB37" s="11">
        <f>136808/6716.22</f>
        <v>20.369791340962625</v>
      </c>
      <c r="AC37" s="16">
        <f>135953/6738.3</f>
        <v>20.176157190982888</v>
      </c>
    </row>
    <row r="38" spans="1:29">
      <c r="A38" s="20" t="s">
        <v>20</v>
      </c>
      <c r="B38" s="25">
        <v>10</v>
      </c>
      <c r="C38" s="25">
        <v>10</v>
      </c>
      <c r="D38" s="25">
        <v>10</v>
      </c>
      <c r="E38" s="25">
        <v>9</v>
      </c>
      <c r="F38" s="25">
        <v>9</v>
      </c>
      <c r="G38" s="25">
        <v>9</v>
      </c>
      <c r="H38" s="25">
        <v>9</v>
      </c>
      <c r="I38" s="25">
        <v>9</v>
      </c>
      <c r="J38" s="25">
        <v>13</v>
      </c>
      <c r="K38" s="25">
        <v>14</v>
      </c>
      <c r="L38" s="25">
        <v>14</v>
      </c>
      <c r="M38" s="25">
        <v>14.5</v>
      </c>
      <c r="N38" s="25">
        <v>11</v>
      </c>
      <c r="O38" s="25">
        <v>11.5</v>
      </c>
      <c r="P38" s="25">
        <v>17</v>
      </c>
      <c r="Q38" s="11">
        <v>17.399999999999999</v>
      </c>
      <c r="R38" s="11">
        <v>18.399999999999999</v>
      </c>
      <c r="S38" s="11">
        <v>21</v>
      </c>
      <c r="T38" s="11">
        <v>21</v>
      </c>
      <c r="U38" s="11">
        <v>21</v>
      </c>
      <c r="V38" s="11">
        <v>21</v>
      </c>
      <c r="W38" s="11">
        <v>22.1</v>
      </c>
      <c r="X38" s="11">
        <v>21.8</v>
      </c>
      <c r="Y38" s="11">
        <v>22.439960697392774</v>
      </c>
      <c r="Z38" s="11">
        <f>154364 /6795.68</f>
        <v>22.715018953217339</v>
      </c>
      <c r="AA38" s="11">
        <f>147179/6834.78</f>
        <v>21.533831374235895</v>
      </c>
      <c r="AB38" s="11">
        <f>145868/6716.22</f>
        <v>21.718764424036138</v>
      </c>
      <c r="AC38" s="16">
        <f>146731/6738.3</f>
        <v>21.775670421322886</v>
      </c>
    </row>
    <row r="39" spans="1:29">
      <c r="A39" s="20" t="s">
        <v>19</v>
      </c>
      <c r="B39" s="25">
        <v>1</v>
      </c>
      <c r="C39" s="25">
        <v>1</v>
      </c>
      <c r="D39" s="25">
        <v>1</v>
      </c>
      <c r="E39" s="25">
        <v>1</v>
      </c>
      <c r="F39" s="25">
        <v>1</v>
      </c>
      <c r="G39" s="25">
        <v>1</v>
      </c>
      <c r="H39" s="25">
        <v>2</v>
      </c>
      <c r="I39" s="25">
        <v>2</v>
      </c>
      <c r="J39" s="25">
        <v>2</v>
      </c>
      <c r="K39" s="25">
        <v>2</v>
      </c>
      <c r="L39" s="25">
        <v>2</v>
      </c>
      <c r="M39" s="25">
        <v>2</v>
      </c>
      <c r="N39" s="17" t="s">
        <v>12</v>
      </c>
      <c r="O39" s="17" t="s">
        <v>12</v>
      </c>
      <c r="P39" s="17" t="s">
        <v>12</v>
      </c>
      <c r="Q39" s="17" t="s">
        <v>12</v>
      </c>
      <c r="R39" s="25" t="s">
        <v>12</v>
      </c>
      <c r="S39" s="25" t="s">
        <v>12</v>
      </c>
      <c r="T39" s="25" t="s">
        <v>12</v>
      </c>
      <c r="U39" s="25" t="s">
        <v>12</v>
      </c>
      <c r="V39" s="25" t="s">
        <v>12</v>
      </c>
      <c r="W39" s="25" t="s">
        <v>12</v>
      </c>
      <c r="X39" s="25"/>
      <c r="AC39" s="22"/>
    </row>
    <row r="40" spans="1:29">
      <c r="A40" s="26" t="s">
        <v>18</v>
      </c>
      <c r="B40" s="17" t="s">
        <v>12</v>
      </c>
      <c r="C40" s="17" t="s">
        <v>12</v>
      </c>
      <c r="D40" s="17" t="s">
        <v>12</v>
      </c>
      <c r="E40" s="17" t="s">
        <v>12</v>
      </c>
      <c r="F40" s="17" t="s">
        <v>12</v>
      </c>
      <c r="G40" s="17" t="s">
        <v>12</v>
      </c>
      <c r="H40" s="17" t="s">
        <v>12</v>
      </c>
      <c r="I40" s="17" t="s">
        <v>12</v>
      </c>
      <c r="J40" s="17" t="s">
        <v>12</v>
      </c>
      <c r="K40" s="17" t="s">
        <v>12</v>
      </c>
      <c r="L40" s="17" t="s">
        <v>12</v>
      </c>
      <c r="M40" s="17" t="s">
        <v>12</v>
      </c>
      <c r="N40" s="25">
        <v>2</v>
      </c>
      <c r="O40" s="25">
        <v>1.7</v>
      </c>
      <c r="P40" s="25">
        <v>1.3</v>
      </c>
      <c r="Q40" s="11">
        <v>1.2</v>
      </c>
      <c r="R40" s="11">
        <v>1.2</v>
      </c>
      <c r="S40" s="11">
        <v>1</v>
      </c>
      <c r="T40" s="11">
        <v>1</v>
      </c>
      <c r="U40" s="11">
        <v>1</v>
      </c>
      <c r="V40" s="11">
        <v>1</v>
      </c>
      <c r="W40" s="11">
        <v>1.1000000000000001</v>
      </c>
      <c r="X40" s="11">
        <v>1.2</v>
      </c>
      <c r="Y40" s="11">
        <v>1.1892847077820685</v>
      </c>
      <c r="Z40" s="11">
        <f>8372 /6795.68</f>
        <v>1.2319591269747838</v>
      </c>
      <c r="AA40" s="11">
        <f>8379/6834.78</f>
        <v>1.2259355824181613</v>
      </c>
      <c r="AB40" s="1">
        <v>1</v>
      </c>
      <c r="AC40" s="16">
        <f>8865/6738.3</f>
        <v>1.3156137304661413</v>
      </c>
    </row>
    <row r="41" spans="1:29">
      <c r="A41" s="20" t="s">
        <v>17</v>
      </c>
      <c r="B41" s="25">
        <v>1</v>
      </c>
      <c r="C41" s="25">
        <v>1</v>
      </c>
      <c r="D41" s="25">
        <v>1</v>
      </c>
      <c r="E41" s="25">
        <v>1</v>
      </c>
      <c r="F41" s="25">
        <v>1</v>
      </c>
      <c r="G41" s="25">
        <v>1</v>
      </c>
      <c r="H41" s="25">
        <v>1</v>
      </c>
      <c r="I41" s="25">
        <v>1</v>
      </c>
      <c r="J41" s="25">
        <v>1</v>
      </c>
      <c r="K41" s="25">
        <v>1</v>
      </c>
      <c r="L41" s="25">
        <v>1</v>
      </c>
      <c r="M41" s="25">
        <v>1.3</v>
      </c>
      <c r="N41" s="17" t="s">
        <v>12</v>
      </c>
      <c r="O41" s="17" t="s">
        <v>12</v>
      </c>
      <c r="P41" s="17" t="s">
        <v>12</v>
      </c>
      <c r="Q41" s="17" t="s">
        <v>12</v>
      </c>
      <c r="R41" s="25" t="s">
        <v>12</v>
      </c>
      <c r="S41" s="25" t="s">
        <v>12</v>
      </c>
      <c r="T41" s="25" t="s">
        <v>12</v>
      </c>
      <c r="U41" s="25" t="s">
        <v>12</v>
      </c>
      <c r="V41" s="25" t="s">
        <v>12</v>
      </c>
      <c r="W41" s="25" t="s">
        <v>12</v>
      </c>
      <c r="X41" s="25"/>
      <c r="AC41" s="22"/>
    </row>
    <row r="42" spans="1:29">
      <c r="A42" s="26" t="s">
        <v>16</v>
      </c>
      <c r="B42" s="17" t="s">
        <v>12</v>
      </c>
      <c r="C42" s="17" t="s">
        <v>12</v>
      </c>
      <c r="D42" s="17" t="s">
        <v>12</v>
      </c>
      <c r="E42" s="17" t="s">
        <v>12</v>
      </c>
      <c r="F42" s="17" t="s">
        <v>12</v>
      </c>
      <c r="G42" s="17" t="s">
        <v>12</v>
      </c>
      <c r="H42" s="17" t="s">
        <v>12</v>
      </c>
      <c r="I42" s="17" t="s">
        <v>12</v>
      </c>
      <c r="J42" s="17" t="s">
        <v>12</v>
      </c>
      <c r="K42" s="17" t="s">
        <v>12</v>
      </c>
      <c r="L42" s="17" t="s">
        <v>12</v>
      </c>
      <c r="M42" s="17" t="s">
        <v>12</v>
      </c>
      <c r="N42" s="17" t="s">
        <v>12</v>
      </c>
      <c r="O42" s="25">
        <v>0.6</v>
      </c>
      <c r="P42" s="25">
        <v>0.9</v>
      </c>
      <c r="Q42" s="11">
        <v>0.8</v>
      </c>
      <c r="R42" s="11">
        <v>0.8</v>
      </c>
      <c r="S42" s="11">
        <v>1</v>
      </c>
      <c r="T42" s="11">
        <v>1</v>
      </c>
      <c r="U42" s="11">
        <v>1</v>
      </c>
      <c r="V42" s="11">
        <v>1</v>
      </c>
      <c r="W42" s="11">
        <v>0.8</v>
      </c>
      <c r="X42" s="11">
        <v>0.8</v>
      </c>
      <c r="Y42" s="11">
        <v>0.8431780271005187</v>
      </c>
      <c r="Z42" s="11">
        <f>5765/6795.68</f>
        <v>0.84833305864902409</v>
      </c>
      <c r="AA42" s="11">
        <f>5686/6834.78</f>
        <v>0.83192143712014144</v>
      </c>
      <c r="AB42" s="11">
        <f>5747/6716.22</f>
        <v>0.85568965876638936</v>
      </c>
      <c r="AC42" s="16">
        <f>5684/6738.3</f>
        <v>0.8435362034934627</v>
      </c>
    </row>
    <row r="43" spans="1:29">
      <c r="A43" s="26" t="s">
        <v>15</v>
      </c>
      <c r="B43" s="17" t="s">
        <v>12</v>
      </c>
      <c r="C43" s="17" t="s">
        <v>12</v>
      </c>
      <c r="D43" s="17" t="s">
        <v>12</v>
      </c>
      <c r="E43" s="17" t="s">
        <v>12</v>
      </c>
      <c r="F43" s="17" t="s">
        <v>12</v>
      </c>
      <c r="G43" s="17" t="s">
        <v>12</v>
      </c>
      <c r="H43" s="17" t="s">
        <v>12</v>
      </c>
      <c r="I43" s="17" t="s">
        <v>12</v>
      </c>
      <c r="J43" s="17" t="s">
        <v>12</v>
      </c>
      <c r="K43" s="17" t="s">
        <v>12</v>
      </c>
      <c r="L43" s="17" t="s">
        <v>12</v>
      </c>
      <c r="M43" s="17" t="s">
        <v>12</v>
      </c>
      <c r="N43" s="17" t="s">
        <v>12</v>
      </c>
      <c r="O43" s="25">
        <v>0.2</v>
      </c>
      <c r="P43" s="25">
        <v>0.2</v>
      </c>
      <c r="Q43" s="11">
        <v>0.2</v>
      </c>
      <c r="R43" s="11">
        <v>0.2</v>
      </c>
      <c r="S43" s="11">
        <v>0.2</v>
      </c>
      <c r="T43" s="11">
        <v>0.2</v>
      </c>
      <c r="U43" s="11">
        <v>0.2</v>
      </c>
      <c r="V43" s="11">
        <v>0.2</v>
      </c>
      <c r="W43" s="11">
        <v>0.2</v>
      </c>
      <c r="X43" s="11">
        <v>0.2</v>
      </c>
      <c r="Y43" s="11">
        <v>0.16711224855090678</v>
      </c>
      <c r="Z43" s="11">
        <f>1224 /6795.68</f>
        <v>0.18011442563510935</v>
      </c>
      <c r="AA43" s="11">
        <f>1260/6834.78</f>
        <v>0.18435121540122726</v>
      </c>
      <c r="AB43" s="11">
        <f>1256/6716.22</f>
        <v>0.18700995500445189</v>
      </c>
      <c r="AC43" s="16">
        <f>1273/6738.3</f>
        <v>0.18892005401955983</v>
      </c>
    </row>
    <row r="44" spans="1:29">
      <c r="A44" s="20" t="s">
        <v>14</v>
      </c>
      <c r="B44" s="17" t="s">
        <v>12</v>
      </c>
      <c r="C44" s="17" t="s">
        <v>12</v>
      </c>
      <c r="D44" s="17" t="s">
        <v>12</v>
      </c>
      <c r="E44" s="17" t="s">
        <v>12</v>
      </c>
      <c r="F44" s="17" t="s">
        <v>12</v>
      </c>
      <c r="G44" s="17" t="s">
        <v>12</v>
      </c>
      <c r="H44" s="17" t="s">
        <v>12</v>
      </c>
      <c r="I44" s="17" t="s">
        <v>12</v>
      </c>
      <c r="J44" s="17" t="s">
        <v>12</v>
      </c>
      <c r="K44" s="17" t="s">
        <v>12</v>
      </c>
      <c r="L44" s="17" t="s">
        <v>12</v>
      </c>
      <c r="M44" s="25">
        <v>1.1000000000000001</v>
      </c>
      <c r="N44" s="18" t="s">
        <v>12</v>
      </c>
      <c r="O44" s="18" t="s">
        <v>12</v>
      </c>
      <c r="P44" s="17">
        <v>1.6</v>
      </c>
      <c r="Q44" s="11">
        <v>2.2999999999999998</v>
      </c>
      <c r="R44" s="11">
        <v>2.4</v>
      </c>
      <c r="S44" s="11">
        <v>3</v>
      </c>
      <c r="T44" s="11">
        <v>3</v>
      </c>
      <c r="U44" s="11">
        <v>3</v>
      </c>
      <c r="V44" s="11">
        <v>4</v>
      </c>
      <c r="W44" s="11">
        <v>3.8</v>
      </c>
      <c r="X44" s="11">
        <v>4.0999999999999996</v>
      </c>
      <c r="Y44" s="11">
        <v>4.4783645240652303</v>
      </c>
      <c r="Z44" s="11">
        <f>29946/6795.68</f>
        <v>4.4066230311021117</v>
      </c>
      <c r="AA44" s="11">
        <f>28888/6834.78</f>
        <v>4.2266173892941694</v>
      </c>
      <c r="AB44" s="11">
        <f>34091/6716.22</f>
        <v>5.0759206815738613</v>
      </c>
      <c r="AC44" s="16">
        <f>34806/6738.3</f>
        <v>5.1653978006322072</v>
      </c>
    </row>
    <row r="45" spans="1:29">
      <c r="A45" s="20" t="s">
        <v>13</v>
      </c>
      <c r="B45" s="25">
        <v>1</v>
      </c>
      <c r="C45" s="25">
        <v>2</v>
      </c>
      <c r="D45" s="25">
        <v>2</v>
      </c>
      <c r="E45" s="25">
        <v>1</v>
      </c>
      <c r="F45" s="25">
        <v>1</v>
      </c>
      <c r="G45" s="25">
        <v>2</v>
      </c>
      <c r="H45" s="25">
        <v>3</v>
      </c>
      <c r="I45" s="25">
        <v>3</v>
      </c>
      <c r="J45" s="25">
        <v>2</v>
      </c>
      <c r="K45" s="25">
        <v>11</v>
      </c>
      <c r="L45" s="25">
        <v>7.1</v>
      </c>
      <c r="M45" s="25">
        <v>6.1</v>
      </c>
      <c r="N45" s="17" t="s">
        <v>12</v>
      </c>
      <c r="O45" s="17" t="s">
        <v>12</v>
      </c>
      <c r="P45" s="17" t="s">
        <v>12</v>
      </c>
      <c r="Q45" s="17" t="s">
        <v>12</v>
      </c>
      <c r="R45" s="25" t="s">
        <v>12</v>
      </c>
      <c r="S45" s="25">
        <v>6</v>
      </c>
      <c r="T45" s="25">
        <v>7</v>
      </c>
      <c r="U45" s="25">
        <v>8</v>
      </c>
      <c r="V45" s="25">
        <v>6</v>
      </c>
      <c r="W45" s="25">
        <v>6.7</v>
      </c>
      <c r="X45" s="25">
        <v>6.9</v>
      </c>
      <c r="Y45" s="11">
        <v>5.6726763095156487</v>
      </c>
      <c r="Z45" s="11">
        <f>35710 /6795.68</f>
        <v>5.2548089374426104</v>
      </c>
      <c r="AA45" s="11">
        <f>29515/6834.78</f>
        <v>4.318354065529542</v>
      </c>
      <c r="AB45" s="11">
        <f>32416/6716.22</f>
        <v>4.8265244438091663</v>
      </c>
      <c r="AC45" s="16">
        <f>30663/6738.3</f>
        <v>4.5505542941097898</v>
      </c>
    </row>
    <row r="46" spans="1:29" ht="16.5">
      <c r="A46" s="1" t="s">
        <v>11</v>
      </c>
      <c r="B46" s="24"/>
      <c r="C46" s="24"/>
      <c r="D46" s="24"/>
      <c r="E46" s="24"/>
      <c r="F46" s="24"/>
      <c r="G46" s="24"/>
      <c r="H46" s="24"/>
      <c r="I46" s="24"/>
      <c r="J46" s="24"/>
      <c r="K46" s="24"/>
      <c r="Q46" s="11"/>
      <c r="R46" s="11"/>
      <c r="S46" s="11"/>
      <c r="T46" s="11"/>
      <c r="U46" s="11"/>
      <c r="V46" s="11"/>
      <c r="W46" s="11"/>
      <c r="X46" s="11"/>
      <c r="Z46" s="11"/>
      <c r="AA46" s="11"/>
      <c r="AC46" s="22"/>
    </row>
    <row r="47" spans="1:29" ht="15.75" customHeight="1">
      <c r="A47" s="20" t="s">
        <v>10</v>
      </c>
      <c r="B47" s="23"/>
      <c r="C47" s="23"/>
      <c r="D47" s="23"/>
      <c r="E47" s="23"/>
      <c r="F47" s="23"/>
      <c r="G47" s="23"/>
      <c r="H47" s="23"/>
      <c r="I47" s="23"/>
      <c r="J47" s="23"/>
      <c r="K47" s="23"/>
      <c r="Q47" s="11"/>
      <c r="R47" s="11"/>
      <c r="S47" s="11"/>
      <c r="T47" s="11"/>
      <c r="U47" s="11"/>
      <c r="V47" s="11"/>
      <c r="W47" s="11"/>
      <c r="X47" s="11"/>
      <c r="AC47" s="22"/>
    </row>
    <row r="48" spans="1:29">
      <c r="A48" s="20" t="s">
        <v>9</v>
      </c>
      <c r="B48" s="19">
        <v>49</v>
      </c>
      <c r="C48" s="19">
        <v>46</v>
      </c>
      <c r="D48" s="19">
        <v>50</v>
      </c>
      <c r="E48" s="19">
        <v>49</v>
      </c>
      <c r="F48" s="19">
        <v>52</v>
      </c>
      <c r="G48" s="19">
        <v>52</v>
      </c>
      <c r="H48" s="19">
        <v>52</v>
      </c>
      <c r="I48" s="19">
        <v>55</v>
      </c>
      <c r="J48" s="19">
        <v>54</v>
      </c>
      <c r="K48" s="19">
        <v>56</v>
      </c>
      <c r="L48" s="19">
        <v>59.8</v>
      </c>
      <c r="M48" s="19">
        <v>57.2</v>
      </c>
      <c r="N48" s="19">
        <v>58.5</v>
      </c>
      <c r="O48" s="19">
        <v>60.9</v>
      </c>
      <c r="P48" s="19">
        <v>62.4</v>
      </c>
      <c r="Q48" s="19">
        <v>62.8</v>
      </c>
      <c r="R48" s="19">
        <v>64</v>
      </c>
      <c r="S48" s="19">
        <v>59</v>
      </c>
      <c r="T48" s="19">
        <v>71</v>
      </c>
      <c r="U48" s="19">
        <v>78</v>
      </c>
      <c r="V48" s="19">
        <v>78</v>
      </c>
      <c r="W48" s="19">
        <v>78.5</v>
      </c>
      <c r="X48" s="19">
        <v>78.260632577599026</v>
      </c>
      <c r="Y48" s="19">
        <v>79.474233060159193</v>
      </c>
      <c r="Z48" s="19">
        <f>526744 /7022.08</f>
        <v>75.012531899380235</v>
      </c>
      <c r="AA48" s="19">
        <f>514500/6834.78</f>
        <v>75.27674628883446</v>
      </c>
      <c r="AB48" s="19">
        <f>502615/6716.22</f>
        <v>74.835994056180411</v>
      </c>
      <c r="AC48" s="21">
        <f>504545/6738.3</f>
        <v>74.877194544618078</v>
      </c>
    </row>
    <row r="49" spans="1:29">
      <c r="A49" s="20" t="s">
        <v>8</v>
      </c>
      <c r="B49" s="19">
        <v>27</v>
      </c>
      <c r="C49" s="19">
        <v>26</v>
      </c>
      <c r="D49" s="19">
        <v>23</v>
      </c>
      <c r="E49" s="19">
        <v>24</v>
      </c>
      <c r="F49" s="19">
        <v>24</v>
      </c>
      <c r="G49" s="19">
        <v>24</v>
      </c>
      <c r="H49" s="19">
        <v>24</v>
      </c>
      <c r="I49" s="19">
        <v>24</v>
      </c>
      <c r="J49" s="19">
        <v>23</v>
      </c>
      <c r="K49" s="19">
        <v>21</v>
      </c>
      <c r="L49" s="19">
        <v>19</v>
      </c>
      <c r="M49" s="19">
        <v>18.600000000000001</v>
      </c>
      <c r="N49" s="19">
        <v>18.600000000000001</v>
      </c>
      <c r="O49" s="19">
        <v>18.899999999999999</v>
      </c>
      <c r="P49" s="19">
        <v>17.5</v>
      </c>
      <c r="Q49" s="19">
        <v>16.600000000000001</v>
      </c>
      <c r="R49" s="19">
        <v>16</v>
      </c>
      <c r="S49" s="19">
        <v>11</v>
      </c>
      <c r="T49" s="19">
        <v>16</v>
      </c>
      <c r="U49" s="19">
        <v>18</v>
      </c>
      <c r="V49" s="19">
        <v>18</v>
      </c>
      <c r="W49" s="19">
        <v>17.600000000000001</v>
      </c>
      <c r="X49" s="19">
        <v>18.347402071271784</v>
      </c>
      <c r="Y49" s="19">
        <v>17.992818132007329</v>
      </c>
      <c r="Z49" s="19">
        <f>119517/7022.08</f>
        <v>17.020170661684286</v>
      </c>
      <c r="AA49" s="19">
        <f>117772/6834.78</f>
        <v>17.23127884145503</v>
      </c>
      <c r="AB49" s="19">
        <f>122067/6716.22</f>
        <v>18.17495555535703</v>
      </c>
      <c r="AC49" s="21">
        <f>123065/6738.3</f>
        <v>18.26350860009201</v>
      </c>
    </row>
    <row r="50" spans="1:29">
      <c r="A50" s="20" t="s">
        <v>7</v>
      </c>
      <c r="B50" s="19">
        <v>17</v>
      </c>
      <c r="C50" s="19">
        <v>16</v>
      </c>
      <c r="D50" s="19">
        <v>14</v>
      </c>
      <c r="E50" s="19">
        <v>14</v>
      </c>
      <c r="F50" s="19">
        <v>14</v>
      </c>
      <c r="G50" s="19">
        <v>13</v>
      </c>
      <c r="H50" s="19">
        <v>12</v>
      </c>
      <c r="I50" s="19">
        <v>12</v>
      </c>
      <c r="J50" s="19">
        <v>12</v>
      </c>
      <c r="K50" s="19">
        <v>11</v>
      </c>
      <c r="L50" s="19">
        <v>10</v>
      </c>
      <c r="M50" s="19">
        <v>9.6</v>
      </c>
      <c r="N50" s="19">
        <v>9.9</v>
      </c>
      <c r="O50" s="19">
        <v>9.9</v>
      </c>
      <c r="P50" s="19">
        <v>9.6999999999999993</v>
      </c>
      <c r="Q50" s="19">
        <v>9.3000000000000007</v>
      </c>
      <c r="R50" s="19">
        <v>8.8000000000000007</v>
      </c>
      <c r="S50" s="19">
        <v>8</v>
      </c>
      <c r="T50" s="19">
        <v>9</v>
      </c>
      <c r="U50" s="19">
        <v>10</v>
      </c>
      <c r="V50" s="19">
        <v>9</v>
      </c>
      <c r="W50" s="19">
        <v>9.1</v>
      </c>
      <c r="X50" s="19">
        <v>9.2715192763807259</v>
      </c>
      <c r="Y50" s="19">
        <v>8.9782187317728432</v>
      </c>
      <c r="Z50" s="19">
        <f>58105/7022.08</f>
        <v>8.2746137896463718</v>
      </c>
      <c r="AA50" s="19">
        <f>57286/6834.78</f>
        <v>8.3815426392656391</v>
      </c>
      <c r="AB50" s="19">
        <f>57329/6716.22</f>
        <v>8.5359026357087764</v>
      </c>
      <c r="AC50" s="21">
        <f>58114/6738.3</f>
        <v>8.6244304943383341</v>
      </c>
    </row>
    <row r="51" spans="1:29">
      <c r="A51" s="20" t="s">
        <v>6</v>
      </c>
      <c r="B51" s="19">
        <v>7</v>
      </c>
      <c r="C51" s="19">
        <v>6</v>
      </c>
      <c r="D51" s="19">
        <v>5</v>
      </c>
      <c r="E51" s="19">
        <v>5</v>
      </c>
      <c r="F51" s="19">
        <v>5</v>
      </c>
      <c r="G51" s="19">
        <v>4</v>
      </c>
      <c r="H51" s="19">
        <v>6</v>
      </c>
      <c r="I51" s="19">
        <v>6</v>
      </c>
      <c r="J51" s="19">
        <v>6</v>
      </c>
      <c r="K51" s="19">
        <v>8</v>
      </c>
      <c r="L51" s="19">
        <v>8</v>
      </c>
      <c r="M51" s="19">
        <v>6.8</v>
      </c>
      <c r="N51" s="19">
        <v>6.5</v>
      </c>
      <c r="O51" s="19">
        <v>4.9000000000000004</v>
      </c>
      <c r="P51" s="19">
        <v>7</v>
      </c>
      <c r="Q51" s="19">
        <v>7.1</v>
      </c>
      <c r="R51" s="19">
        <v>6.6</v>
      </c>
      <c r="S51" s="19">
        <v>4</v>
      </c>
      <c r="T51" s="19">
        <v>7</v>
      </c>
      <c r="U51" s="19">
        <v>8</v>
      </c>
      <c r="V51" s="19">
        <v>8</v>
      </c>
      <c r="W51" s="19">
        <v>9</v>
      </c>
      <c r="X51" s="19">
        <v>8.5266864070947683</v>
      </c>
      <c r="Y51" s="19">
        <v>8.7248796639427812</v>
      </c>
      <c r="Z51" s="19">
        <f>42290/7022.08</f>
        <v>6.0224320998906311</v>
      </c>
      <c r="AA51" s="19">
        <f>42549/6834.78</f>
        <v>6.2253649715133479</v>
      </c>
      <c r="AB51" s="19">
        <f>37859/6716.22</f>
        <v>5.6369505465872169</v>
      </c>
      <c r="AC51" s="21">
        <f>38635/6738.3</f>
        <v>5.7336420165323601</v>
      </c>
    </row>
    <row r="52" spans="1:29">
      <c r="A52" s="20" t="s">
        <v>5</v>
      </c>
      <c r="B52" s="19">
        <v>0</v>
      </c>
      <c r="C52" s="19">
        <v>2</v>
      </c>
      <c r="D52" s="19">
        <v>3</v>
      </c>
      <c r="E52" s="19">
        <v>2</v>
      </c>
      <c r="F52" s="19">
        <v>2</v>
      </c>
      <c r="G52" s="19">
        <v>3</v>
      </c>
      <c r="H52" s="19">
        <v>3</v>
      </c>
      <c r="I52" s="19">
        <v>2</v>
      </c>
      <c r="J52" s="19">
        <v>2</v>
      </c>
      <c r="K52" s="19">
        <v>2</v>
      </c>
      <c r="L52" s="19">
        <v>3</v>
      </c>
      <c r="M52" s="19">
        <v>2</v>
      </c>
      <c r="N52" s="18">
        <v>2</v>
      </c>
      <c r="O52" s="17">
        <v>2.2999999999999998</v>
      </c>
      <c r="P52" s="17">
        <v>2.1</v>
      </c>
      <c r="Q52" s="11">
        <v>2</v>
      </c>
      <c r="R52" s="11">
        <v>2.2000000000000002</v>
      </c>
      <c r="S52" s="11">
        <v>1</v>
      </c>
      <c r="T52" s="11">
        <v>2</v>
      </c>
      <c r="U52" s="11">
        <v>2</v>
      </c>
      <c r="V52" s="11">
        <v>2</v>
      </c>
      <c r="W52" s="11">
        <v>2.2000000000000002</v>
      </c>
      <c r="X52" s="11">
        <v>2.3136076368939764</v>
      </c>
      <c r="Y52" s="11">
        <v>2.275632905799108</v>
      </c>
      <c r="Z52" s="11">
        <f>15645/7022.08</f>
        <v>2.227972338680277</v>
      </c>
      <c r="AA52" s="11">
        <f>15169/6834.78</f>
        <v>2.2193837987469971</v>
      </c>
      <c r="AB52" s="11">
        <f>14028/6716.22</f>
        <v>2.088674879619786</v>
      </c>
      <c r="AC52" s="16">
        <f>15160/6738.3</f>
        <v>2.2498256236736269</v>
      </c>
    </row>
    <row r="53" spans="1:29">
      <c r="A53" s="15" t="s">
        <v>4</v>
      </c>
      <c r="B53" s="14">
        <v>10</v>
      </c>
      <c r="C53" s="14">
        <v>13</v>
      </c>
      <c r="D53" s="14">
        <v>21</v>
      </c>
      <c r="E53" s="14">
        <v>17</v>
      </c>
      <c r="F53" s="14">
        <v>16</v>
      </c>
      <c r="G53" s="14">
        <v>17</v>
      </c>
      <c r="H53" s="14">
        <v>19</v>
      </c>
      <c r="I53" s="14">
        <v>12</v>
      </c>
      <c r="J53" s="14">
        <v>26</v>
      </c>
      <c r="K53" s="14">
        <v>28</v>
      </c>
      <c r="L53" s="14">
        <v>16.600000000000001</v>
      </c>
      <c r="M53" s="14">
        <v>19.8</v>
      </c>
      <c r="N53" s="14">
        <v>18.899999999999999</v>
      </c>
      <c r="O53" s="14">
        <v>16.899999999999999</v>
      </c>
      <c r="P53" s="14">
        <v>14.7</v>
      </c>
      <c r="Q53" s="14">
        <v>15.4</v>
      </c>
      <c r="R53" s="14">
        <v>15</v>
      </c>
      <c r="S53" s="14">
        <v>17</v>
      </c>
      <c r="T53" s="14">
        <v>9</v>
      </c>
      <c r="U53" s="14">
        <v>10</v>
      </c>
      <c r="V53" s="14">
        <v>10</v>
      </c>
      <c r="W53" s="14">
        <v>10.6</v>
      </c>
      <c r="X53" s="14">
        <v>10.77945227677848</v>
      </c>
      <c r="Y53" s="14">
        <v>10.054909770050608</v>
      </c>
      <c r="Z53" s="14">
        <f>48016/7022.08</f>
        <v>6.8378600072912867</v>
      </c>
      <c r="AA53" s="14">
        <f>(47350+164)/6834.78</f>
        <v>6.9517965464872313</v>
      </c>
      <c r="AB53" s="14">
        <f>(46289+105)/6716.22</f>
        <v>6.9077546596150805</v>
      </c>
      <c r="AC53" s="13">
        <f>(47628+119)/6738.3</f>
        <v>7.0859118768828928</v>
      </c>
    </row>
    <row r="54" spans="1:29" ht="6" customHeight="1">
      <c r="B54" s="12"/>
      <c r="C54" s="12"/>
      <c r="D54" s="12"/>
      <c r="E54" s="12"/>
      <c r="F54" s="12"/>
      <c r="G54" s="12"/>
      <c r="H54" s="12"/>
      <c r="I54" s="12"/>
      <c r="J54" s="12"/>
      <c r="K54" s="12"/>
      <c r="L54" s="12"/>
      <c r="R54" s="11"/>
    </row>
    <row r="55" spans="1:29" ht="61.5" customHeight="1">
      <c r="A55" s="10" t="s">
        <v>3</v>
      </c>
      <c r="B55" s="10"/>
      <c r="C55" s="10"/>
      <c r="D55" s="10"/>
      <c r="E55" s="10"/>
      <c r="F55" s="10"/>
      <c r="G55" s="10"/>
      <c r="H55" s="10"/>
      <c r="I55" s="10"/>
      <c r="J55" s="10"/>
      <c r="K55" s="10"/>
      <c r="L55" s="10"/>
      <c r="M55" s="10"/>
      <c r="N55" s="10"/>
      <c r="O55" s="10"/>
      <c r="P55" s="10"/>
      <c r="Q55" s="10"/>
      <c r="R55" s="10"/>
    </row>
    <row r="56" spans="1:29" ht="15">
      <c r="A56" s="10" t="s">
        <v>2</v>
      </c>
      <c r="B56" s="10"/>
      <c r="C56" s="10"/>
      <c r="D56" s="10"/>
      <c r="E56" s="10"/>
      <c r="F56" s="10"/>
      <c r="G56" s="10"/>
      <c r="H56" s="10"/>
      <c r="I56" s="10"/>
      <c r="J56" s="10"/>
      <c r="K56" s="10"/>
      <c r="L56" s="10"/>
      <c r="M56" s="10"/>
      <c r="N56" s="10"/>
      <c r="O56" s="10"/>
      <c r="P56" s="10"/>
      <c r="Q56" s="10"/>
      <c r="R56" s="10"/>
    </row>
    <row r="57" spans="1:29" ht="15">
      <c r="A57" s="9" t="s">
        <v>1</v>
      </c>
      <c r="B57" s="8"/>
      <c r="C57" s="8"/>
      <c r="D57" s="8"/>
      <c r="E57" s="8"/>
      <c r="F57" s="8"/>
      <c r="G57" s="8"/>
      <c r="H57" s="8"/>
      <c r="I57" s="8"/>
      <c r="J57" s="8"/>
      <c r="K57" s="8"/>
      <c r="L57" s="8"/>
      <c r="M57" s="8"/>
      <c r="N57" s="7"/>
      <c r="O57" s="7"/>
      <c r="P57" s="7"/>
      <c r="Q57" s="7"/>
      <c r="R57" s="7"/>
    </row>
    <row r="58" spans="1:29" ht="69" customHeight="1">
      <c r="A58" s="6" t="s">
        <v>0</v>
      </c>
      <c r="B58" s="6"/>
      <c r="C58" s="6"/>
      <c r="D58" s="6"/>
      <c r="E58" s="6"/>
      <c r="F58" s="6"/>
      <c r="G58" s="6"/>
      <c r="H58" s="6"/>
      <c r="I58" s="6"/>
      <c r="J58" s="6"/>
      <c r="K58" s="6"/>
      <c r="L58" s="6"/>
      <c r="M58" s="6"/>
      <c r="N58" s="6"/>
      <c r="O58" s="6"/>
      <c r="P58" s="6"/>
      <c r="Q58" s="6"/>
      <c r="R58" s="6"/>
    </row>
    <row r="59" spans="1:29" ht="84" customHeight="1">
      <c r="A59" s="5"/>
      <c r="B59" s="5"/>
      <c r="C59" s="5"/>
      <c r="D59" s="5"/>
      <c r="E59" s="5"/>
      <c r="F59" s="5"/>
      <c r="G59" s="5"/>
      <c r="H59" s="5"/>
      <c r="I59" s="5"/>
      <c r="J59" s="5"/>
      <c r="K59" s="5"/>
      <c r="L59" s="5"/>
      <c r="M59" s="4"/>
      <c r="S59"/>
    </row>
    <row r="60" spans="1:29">
      <c r="A60" s="1"/>
      <c r="S60"/>
    </row>
    <row r="61" spans="1:29">
      <c r="S61"/>
    </row>
    <row r="62" spans="1:29">
      <c r="A62" s="3"/>
      <c r="S62"/>
    </row>
    <row r="63" spans="1:29">
      <c r="S63"/>
    </row>
    <row r="64" spans="1:29">
      <c r="A64" s="3"/>
      <c r="S64"/>
    </row>
    <row r="65" spans="19:19">
      <c r="S65"/>
    </row>
    <row r="66" spans="19:19">
      <c r="S66"/>
    </row>
  </sheetData>
  <mergeCells count="5">
    <mergeCell ref="A59:L59"/>
    <mergeCell ref="A1:R1"/>
    <mergeCell ref="A56:R56"/>
    <mergeCell ref="A55:R55"/>
    <mergeCell ref="A58:R58"/>
  </mergeCells>
  <printOptions horizontalCentered="1"/>
  <pageMargins left="0.75" right="0.75" top="1" bottom="1" header="0.5" footer="0.5"/>
  <pageSetup scale="48"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Table 1</vt:lpstr>
      <vt:lpstr>'Table 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Russ</dc:creator>
  <cp:lastModifiedBy>Stephen Russ</cp:lastModifiedBy>
  <dcterms:created xsi:type="dcterms:W3CDTF">2019-05-02T20:33:41Z</dcterms:created>
  <dcterms:modified xsi:type="dcterms:W3CDTF">2019-05-02T20:34:12Z</dcterms:modified>
</cp:coreProperties>
</file>